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14. Finance and Accounting\Workfiles\PI\"/>
    </mc:Choice>
  </mc:AlternateContent>
  <xr:revisionPtr revIDLastSave="0" documentId="13_ncr:1_{A28D5FF8-0AE8-4C50-A85C-CF1C71E2D0B2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Cash Flow Builder + " sheetId="24" r:id="rId1"/>
  </sheets>
  <definedNames>
    <definedName name="_xlnm._FilterDatabase" localSheetId="0" hidden="1">'Cash Flow Builder + '!$B$9:$S$73</definedName>
    <definedName name="_xlnm.Print_Area" localSheetId="0">'Cash Flow Builder + '!$A$2:$S$74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24" l="1"/>
  <c r="E66" i="24" l="1"/>
  <c r="F66" i="24" s="1"/>
  <c r="G66" i="24" s="1"/>
  <c r="E65" i="24"/>
  <c r="F65" i="24" s="1"/>
  <c r="G65" i="24" s="1"/>
  <c r="H65" i="24" s="1"/>
  <c r="O24" i="24"/>
  <c r="P24" i="24"/>
  <c r="Q24" i="24"/>
  <c r="R24" i="24"/>
  <c r="E61" i="24"/>
  <c r="E15" i="24" s="1"/>
  <c r="E43" i="24"/>
  <c r="E45" i="24"/>
  <c r="F45" i="24" s="1"/>
  <c r="G45" i="24" s="1"/>
  <c r="H45" i="24" s="1"/>
  <c r="I45" i="24" s="1"/>
  <c r="J45" i="24" s="1"/>
  <c r="K45" i="24" s="1"/>
  <c r="L45" i="24" s="1"/>
  <c r="M45" i="24" s="1"/>
  <c r="E46" i="24"/>
  <c r="F46" i="24" s="1"/>
  <c r="G46" i="24" s="1"/>
  <c r="H46" i="24" s="1"/>
  <c r="E47" i="24"/>
  <c r="F47" i="24" s="1"/>
  <c r="G47" i="24" s="1"/>
  <c r="H47" i="24" s="1"/>
  <c r="I47" i="24" s="1"/>
  <c r="J47" i="24" s="1"/>
  <c r="K47" i="24" s="1"/>
  <c r="L47" i="24" s="1"/>
  <c r="M47" i="24" s="1"/>
  <c r="N47" i="24" s="1"/>
  <c r="O47" i="24" s="1"/>
  <c r="P47" i="24" s="1"/>
  <c r="Q47" i="24" s="1"/>
  <c r="R47" i="24" s="1"/>
  <c r="E48" i="24"/>
  <c r="F48" i="24" s="1"/>
  <c r="G48" i="24" s="1"/>
  <c r="H48" i="24" s="1"/>
  <c r="I48" i="24" s="1"/>
  <c r="J48" i="24" s="1"/>
  <c r="K48" i="24" s="1"/>
  <c r="L48" i="24" s="1"/>
  <c r="M48" i="24" s="1"/>
  <c r="N48" i="24" s="1"/>
  <c r="O48" i="24" s="1"/>
  <c r="P48" i="24" s="1"/>
  <c r="Q48" i="24" s="1"/>
  <c r="R48" i="24" s="1"/>
  <c r="E49" i="24"/>
  <c r="F49" i="24" s="1"/>
  <c r="G49" i="24" s="1"/>
  <c r="H49" i="24" s="1"/>
  <c r="I49" i="24" s="1"/>
  <c r="J49" i="24" s="1"/>
  <c r="K49" i="24" s="1"/>
  <c r="L49" i="24" s="1"/>
  <c r="M49" i="24" s="1"/>
  <c r="N49" i="24" s="1"/>
  <c r="O49" i="24" s="1"/>
  <c r="P49" i="24" s="1"/>
  <c r="Q49" i="24" s="1"/>
  <c r="R49" i="24" s="1"/>
  <c r="E50" i="24"/>
  <c r="E51" i="24"/>
  <c r="F51" i="24" s="1"/>
  <c r="G51" i="24" s="1"/>
  <c r="H51" i="24" s="1"/>
  <c r="I51" i="24" s="1"/>
  <c r="J51" i="24" s="1"/>
  <c r="K51" i="24" s="1"/>
  <c r="L51" i="24" s="1"/>
  <c r="M51" i="24" s="1"/>
  <c r="N51" i="24" s="1"/>
  <c r="O51" i="24" s="1"/>
  <c r="P51" i="24" s="1"/>
  <c r="Q51" i="24" s="1"/>
  <c r="R51" i="24" s="1"/>
  <c r="E52" i="24"/>
  <c r="F52" i="24" s="1"/>
  <c r="G52" i="24" s="1"/>
  <c r="H52" i="24" s="1"/>
  <c r="I52" i="24" s="1"/>
  <c r="J52" i="24" s="1"/>
  <c r="K52" i="24" s="1"/>
  <c r="L52" i="24" s="1"/>
  <c r="M52" i="24" s="1"/>
  <c r="N52" i="24" s="1"/>
  <c r="O52" i="24" s="1"/>
  <c r="P52" i="24" s="1"/>
  <c r="Q52" i="24" s="1"/>
  <c r="R52" i="24" s="1"/>
  <c r="E53" i="24"/>
  <c r="F53" i="24" s="1"/>
  <c r="G53" i="24" s="1"/>
  <c r="H53" i="24" s="1"/>
  <c r="I53" i="24" s="1"/>
  <c r="J53" i="24" s="1"/>
  <c r="K53" i="24" s="1"/>
  <c r="L53" i="24" s="1"/>
  <c r="M53" i="24" s="1"/>
  <c r="N53" i="24" s="1"/>
  <c r="O53" i="24" s="1"/>
  <c r="P53" i="24" s="1"/>
  <c r="Q53" i="24" s="1"/>
  <c r="R53" i="24" s="1"/>
  <c r="D44" i="24"/>
  <c r="D56" i="24" s="1"/>
  <c r="C67" i="24"/>
  <c r="D15" i="24"/>
  <c r="E27" i="24"/>
  <c r="F27" i="24" s="1"/>
  <c r="G27" i="24" s="1"/>
  <c r="H27" i="24" s="1"/>
  <c r="I27" i="24" s="1"/>
  <c r="J27" i="24" s="1"/>
  <c r="K27" i="24" s="1"/>
  <c r="L27" i="24" s="1"/>
  <c r="M27" i="24" s="1"/>
  <c r="N27" i="24" s="1"/>
  <c r="O27" i="24" s="1"/>
  <c r="P27" i="24" s="1"/>
  <c r="Q27" i="24" s="1"/>
  <c r="R27" i="24" s="1"/>
  <c r="N24" i="24"/>
  <c r="M24" i="24"/>
  <c r="L24" i="24"/>
  <c r="K24" i="24"/>
  <c r="J24" i="24"/>
  <c r="I24" i="24"/>
  <c r="H24" i="24"/>
  <c r="G24" i="24"/>
  <c r="F24" i="24"/>
  <c r="E24" i="24"/>
  <c r="D24" i="24"/>
  <c r="D57" i="24" l="1"/>
  <c r="D62" i="24" s="1"/>
  <c r="D64" i="24" s="1"/>
  <c r="D54" i="24"/>
  <c r="D59" i="24" s="1"/>
  <c r="D12" i="24" s="1"/>
  <c r="D17" i="24" s="1"/>
  <c r="D71" i="24" s="1"/>
  <c r="F61" i="24"/>
  <c r="I65" i="24"/>
  <c r="N45" i="24"/>
  <c r="H66" i="24"/>
  <c r="I46" i="24"/>
  <c r="F50" i="24"/>
  <c r="F43" i="24"/>
  <c r="E44" i="24"/>
  <c r="F15" i="24" l="1"/>
  <c r="G61" i="24"/>
  <c r="D14" i="24"/>
  <c r="D21" i="24" s="1"/>
  <c r="D13" i="24"/>
  <c r="D16" i="24" s="1"/>
  <c r="G43" i="24"/>
  <c r="F44" i="24"/>
  <c r="F63" i="24" s="1"/>
  <c r="J65" i="24"/>
  <c r="J46" i="24"/>
  <c r="G50" i="24"/>
  <c r="O45" i="24"/>
  <c r="E57" i="24"/>
  <c r="E62" i="24" s="1"/>
  <c r="E64" i="24" s="1"/>
  <c r="E54" i="24"/>
  <c r="E63" i="24"/>
  <c r="E56" i="24"/>
  <c r="I66" i="24"/>
  <c r="D29" i="24" l="1"/>
  <c r="D30" i="24"/>
  <c r="G15" i="24"/>
  <c r="H61" i="24"/>
  <c r="E59" i="24"/>
  <c r="D69" i="24"/>
  <c r="D18" i="24"/>
  <c r="D23" i="24" s="1"/>
  <c r="D26" i="24" s="1"/>
  <c r="E20" i="24"/>
  <c r="E36" i="24"/>
  <c r="D67" i="24"/>
  <c r="D68" i="24"/>
  <c r="D31" i="24"/>
  <c r="K65" i="24"/>
  <c r="K46" i="24"/>
  <c r="F57" i="24"/>
  <c r="F62" i="24" s="1"/>
  <c r="F64" i="24" s="1"/>
  <c r="F56" i="24"/>
  <c r="F54" i="24"/>
  <c r="J66" i="24"/>
  <c r="P45" i="24"/>
  <c r="H50" i="24"/>
  <c r="H43" i="24"/>
  <c r="G44" i="24"/>
  <c r="I61" i="24" l="1"/>
  <c r="H15" i="24"/>
  <c r="D72" i="24"/>
  <c r="D70" i="24"/>
  <c r="F59" i="24"/>
  <c r="I43" i="24"/>
  <c r="H44" i="24"/>
  <c r="L65" i="24"/>
  <c r="Q45" i="24"/>
  <c r="K66" i="24"/>
  <c r="L46" i="24"/>
  <c r="G54" i="24"/>
  <c r="G56" i="24"/>
  <c r="G57" i="24"/>
  <c r="G62" i="24" s="1"/>
  <c r="G64" i="24" s="1"/>
  <c r="I50" i="24"/>
  <c r="G63" i="24"/>
  <c r="D73" i="24" l="1"/>
  <c r="D32" i="24" s="1"/>
  <c r="D33" i="24" s="1"/>
  <c r="I15" i="24"/>
  <c r="J61" i="24"/>
  <c r="D35" i="24"/>
  <c r="D37" i="24" s="1"/>
  <c r="D38" i="24" s="1"/>
  <c r="E10" i="24"/>
  <c r="G59" i="24"/>
  <c r="M46" i="24"/>
  <c r="R45" i="24"/>
  <c r="H57" i="24"/>
  <c r="H62" i="24" s="1"/>
  <c r="H64" i="24" s="1"/>
  <c r="H56" i="24"/>
  <c r="H54" i="24"/>
  <c r="J50" i="24"/>
  <c r="H63" i="24"/>
  <c r="M65" i="24"/>
  <c r="L66" i="24"/>
  <c r="I44" i="24"/>
  <c r="I63" i="24" s="1"/>
  <c r="J43" i="24"/>
  <c r="K61" i="24" l="1"/>
  <c r="J15" i="24"/>
  <c r="E12" i="24"/>
  <c r="D39" i="24"/>
  <c r="D40" i="24" s="1"/>
  <c r="N65" i="24"/>
  <c r="I54" i="24"/>
  <c r="I56" i="24"/>
  <c r="I57" i="24"/>
  <c r="I62" i="24" s="1"/>
  <c r="I64" i="24" s="1"/>
  <c r="N46" i="24"/>
  <c r="J44" i="24"/>
  <c r="J63" i="24" s="1"/>
  <c r="K43" i="24"/>
  <c r="M66" i="24"/>
  <c r="K50" i="24"/>
  <c r="H59" i="24"/>
  <c r="L61" i="24" l="1"/>
  <c r="K15" i="24"/>
  <c r="E19" i="24"/>
  <c r="E13" i="24"/>
  <c r="E14" i="24"/>
  <c r="O46" i="24"/>
  <c r="L50" i="24"/>
  <c r="J57" i="24"/>
  <c r="J62" i="24" s="1"/>
  <c r="J64" i="24" s="1"/>
  <c r="J54" i="24"/>
  <c r="J56" i="24"/>
  <c r="O65" i="24"/>
  <c r="N66" i="24"/>
  <c r="K44" i="24"/>
  <c r="K63" i="24" s="1"/>
  <c r="L43" i="24"/>
  <c r="I59" i="24"/>
  <c r="L15" i="24" l="1"/>
  <c r="M61" i="24"/>
  <c r="E21" i="24"/>
  <c r="E68" i="24"/>
  <c r="E69" i="24"/>
  <c r="E16" i="24"/>
  <c r="E67" i="24"/>
  <c r="E31" i="24"/>
  <c r="M43" i="24"/>
  <c r="L44" i="24"/>
  <c r="O66" i="24"/>
  <c r="P65" i="24"/>
  <c r="M50" i="24"/>
  <c r="K57" i="24"/>
  <c r="K62" i="24" s="1"/>
  <c r="K64" i="24" s="1"/>
  <c r="K54" i="24"/>
  <c r="K56" i="24"/>
  <c r="J59" i="24"/>
  <c r="P46" i="24"/>
  <c r="E30" i="24" l="1"/>
  <c r="E29" i="24"/>
  <c r="M15" i="24"/>
  <c r="N61" i="24"/>
  <c r="F20" i="24"/>
  <c r="E17" i="24"/>
  <c r="F36" i="24"/>
  <c r="E70" i="24"/>
  <c r="E72" i="24"/>
  <c r="N50" i="24"/>
  <c r="K59" i="24"/>
  <c r="L54" i="24"/>
  <c r="L56" i="24"/>
  <c r="L57" i="24"/>
  <c r="L62" i="24" s="1"/>
  <c r="L64" i="24" s="1"/>
  <c r="Q65" i="24"/>
  <c r="N43" i="24"/>
  <c r="M44" i="24"/>
  <c r="M63" i="24" s="1"/>
  <c r="P66" i="24"/>
  <c r="Q46" i="24"/>
  <c r="L63" i="24"/>
  <c r="O61" i="24" l="1"/>
  <c r="N15" i="24"/>
  <c r="E71" i="24"/>
  <c r="E73" i="24" s="1"/>
  <c r="F10" i="24" s="1"/>
  <c r="E18" i="24"/>
  <c r="Q66" i="24"/>
  <c r="R46" i="24"/>
  <c r="R65" i="24"/>
  <c r="M54" i="24"/>
  <c r="M57" i="24"/>
  <c r="M62" i="24" s="1"/>
  <c r="M64" i="24" s="1"/>
  <c r="M56" i="24"/>
  <c r="L59" i="24"/>
  <c r="O43" i="24"/>
  <c r="N44" i="24"/>
  <c r="O50" i="24"/>
  <c r="P61" i="24" l="1"/>
  <c r="O15" i="24"/>
  <c r="E23" i="24"/>
  <c r="E26" i="24" s="1"/>
  <c r="E32" i="24"/>
  <c r="E33" i="24" s="1"/>
  <c r="E35" i="24"/>
  <c r="E37" i="24" s="1"/>
  <c r="E38" i="24" s="1"/>
  <c r="F12" i="24"/>
  <c r="M59" i="24"/>
  <c r="N54" i="24"/>
  <c r="N57" i="24"/>
  <c r="N62" i="24" s="1"/>
  <c r="N64" i="24" s="1"/>
  <c r="N56" i="24"/>
  <c r="O44" i="24"/>
  <c r="O63" i="24" s="1"/>
  <c r="P43" i="24"/>
  <c r="N63" i="24"/>
  <c r="R66" i="24"/>
  <c r="P50" i="24"/>
  <c r="Q61" i="24" l="1"/>
  <c r="P15" i="24"/>
  <c r="F19" i="24"/>
  <c r="F13" i="24"/>
  <c r="F14" i="24"/>
  <c r="E39" i="24"/>
  <c r="E40" i="24" s="1"/>
  <c r="Q43" i="24"/>
  <c r="P44" i="24"/>
  <c r="Q50" i="24"/>
  <c r="O57" i="24"/>
  <c r="O62" i="24" s="1"/>
  <c r="O64" i="24" s="1"/>
  <c r="O56" i="24"/>
  <c r="O54" i="24"/>
  <c r="N59" i="24"/>
  <c r="R61" i="24" l="1"/>
  <c r="R15" i="24" s="1"/>
  <c r="Q15" i="24"/>
  <c r="O59" i="24"/>
  <c r="F21" i="24"/>
  <c r="F67" i="24"/>
  <c r="F16" i="24"/>
  <c r="F68" i="24"/>
  <c r="F31" i="24"/>
  <c r="F69" i="24"/>
  <c r="R50" i="24"/>
  <c r="P54" i="24"/>
  <c r="P56" i="24"/>
  <c r="P57" i="24"/>
  <c r="P62" i="24" s="1"/>
  <c r="P64" i="24" s="1"/>
  <c r="R43" i="24"/>
  <c r="Q44" i="24"/>
  <c r="Q63" i="24" s="1"/>
  <c r="P63" i="24"/>
  <c r="F29" i="24" l="1"/>
  <c r="F30" i="24"/>
  <c r="F17" i="24"/>
  <c r="G20" i="24"/>
  <c r="G36" i="24"/>
  <c r="F72" i="24"/>
  <c r="F70" i="24"/>
  <c r="R44" i="24"/>
  <c r="R63" i="24" s="1"/>
  <c r="Q54" i="24"/>
  <c r="Q56" i="24"/>
  <c r="Q57" i="24"/>
  <c r="Q62" i="24" s="1"/>
  <c r="Q64" i="24" s="1"/>
  <c r="P59" i="24"/>
  <c r="F71" i="24" l="1"/>
  <c r="F73" i="24" s="1"/>
  <c r="F18" i="24"/>
  <c r="F23" i="24" s="1"/>
  <c r="F26" i="24" s="1"/>
  <c r="Q59" i="24"/>
  <c r="R56" i="24"/>
  <c r="R54" i="24"/>
  <c r="R57" i="24"/>
  <c r="R62" i="24" s="1"/>
  <c r="R64" i="24" s="1"/>
  <c r="F35" i="24" l="1"/>
  <c r="F37" i="24" s="1"/>
  <c r="F38" i="24" s="1"/>
  <c r="F32" i="24"/>
  <c r="F33" i="24" s="1"/>
  <c r="G10" i="24"/>
  <c r="R59" i="24"/>
  <c r="F39" i="24" l="1"/>
  <c r="F40" i="24" s="1"/>
  <c r="G12" i="24"/>
  <c r="G13" i="24" l="1"/>
  <c r="G14" i="24"/>
  <c r="G19" i="24"/>
  <c r="G21" i="24" l="1"/>
  <c r="G67" i="24"/>
  <c r="G31" i="24"/>
  <c r="G68" i="24"/>
  <c r="G16" i="24"/>
  <c r="G69" i="24"/>
  <c r="G29" i="24" l="1"/>
  <c r="G30" i="24"/>
  <c r="G70" i="24"/>
  <c r="G72" i="24"/>
  <c r="G17" i="24"/>
  <c r="G71" i="24" s="1"/>
  <c r="H36" i="24"/>
  <c r="H20" i="24"/>
  <c r="G73" i="24" l="1"/>
  <c r="G32" i="24" s="1"/>
  <c r="G33" i="24" s="1"/>
  <c r="G18" i="24"/>
  <c r="G23" i="24" s="1"/>
  <c r="G26" i="24" s="1"/>
  <c r="H10" i="24" l="1"/>
  <c r="H12" i="24" s="1"/>
  <c r="H19" i="24" s="1"/>
  <c r="G35" i="24"/>
  <c r="G37" i="24" s="1"/>
  <c r="G38" i="24" s="1"/>
  <c r="G39" i="24" l="1"/>
  <c r="G40" i="24" s="1"/>
  <c r="H14" i="24"/>
  <c r="H21" i="24" s="1"/>
  <c r="H13" i="24"/>
  <c r="H69" i="24" s="1"/>
  <c r="H67" i="24" l="1"/>
  <c r="H70" i="24" s="1"/>
  <c r="H31" i="24"/>
  <c r="H68" i="24"/>
  <c r="H16" i="24"/>
  <c r="H72" i="24" l="1"/>
  <c r="H29" i="24"/>
  <c r="H30" i="24"/>
  <c r="H17" i="24"/>
  <c r="H71" i="24" s="1"/>
  <c r="H73" i="24" s="1"/>
  <c r="I20" i="24"/>
  <c r="I36" i="24"/>
  <c r="H18" i="24" l="1"/>
  <c r="H23" i="24" s="1"/>
  <c r="H26" i="24" s="1"/>
  <c r="I10" i="24"/>
  <c r="I12" i="24" s="1"/>
  <c r="H32" i="24"/>
  <c r="H33" i="24" s="1"/>
  <c r="H35" i="24"/>
  <c r="H37" i="24" s="1"/>
  <c r="H38" i="24" s="1"/>
  <c r="H39" i="24" l="1"/>
  <c r="H40" i="24" s="1"/>
  <c r="I19" i="24"/>
  <c r="I14" i="24"/>
  <c r="I13" i="24"/>
  <c r="I21" i="24" l="1"/>
  <c r="I16" i="24"/>
  <c r="I68" i="24"/>
  <c r="I31" i="24"/>
  <c r="I69" i="24"/>
  <c r="I67" i="24"/>
  <c r="I29" i="24" l="1"/>
  <c r="I30" i="24"/>
  <c r="I70" i="24"/>
  <c r="I72" i="24"/>
  <c r="I17" i="24"/>
  <c r="J36" i="24"/>
  <c r="J20" i="24"/>
  <c r="I71" i="24" l="1"/>
  <c r="I73" i="24" s="1"/>
  <c r="I18" i="24"/>
  <c r="I32" i="24" l="1"/>
  <c r="I33" i="24" s="1"/>
  <c r="I35" i="24"/>
  <c r="I37" i="24" s="1"/>
  <c r="I38" i="24" s="1"/>
  <c r="J10" i="24"/>
  <c r="J12" i="24" s="1"/>
  <c r="I23" i="24"/>
  <c r="I26" i="24" s="1"/>
  <c r="J13" i="24" l="1"/>
  <c r="J19" i="24"/>
  <c r="J14" i="24"/>
  <c r="I39" i="24"/>
  <c r="I40" i="24" s="1"/>
  <c r="J21" i="24" l="1"/>
  <c r="J16" i="24"/>
  <c r="J69" i="24"/>
  <c r="J31" i="24"/>
  <c r="J67" i="24"/>
  <c r="J68" i="24"/>
  <c r="J29" i="24" l="1"/>
  <c r="J30" i="24"/>
  <c r="J72" i="24"/>
  <c r="J70" i="24"/>
  <c r="J17" i="24"/>
  <c r="K20" i="24"/>
  <c r="K36" i="24"/>
  <c r="J71" i="24" l="1"/>
  <c r="J73" i="24" s="1"/>
  <c r="J18" i="24"/>
  <c r="J23" i="24" l="1"/>
  <c r="J26" i="24" s="1"/>
  <c r="J32" i="24"/>
  <c r="J33" i="24" s="1"/>
  <c r="K10" i="24"/>
  <c r="K12" i="24" s="1"/>
  <c r="J35" i="24"/>
  <c r="J37" i="24" s="1"/>
  <c r="J38" i="24" s="1"/>
  <c r="K14" i="24" l="1"/>
  <c r="K13" i="24"/>
  <c r="K19" i="24"/>
  <c r="J39" i="24"/>
  <c r="J40" i="24" s="1"/>
  <c r="K31" i="24" l="1"/>
  <c r="K69" i="24"/>
  <c r="K67" i="24"/>
  <c r="K68" i="24"/>
  <c r="K16" i="24"/>
  <c r="K21" i="24"/>
  <c r="K30" i="24" l="1"/>
  <c r="K29" i="24"/>
  <c r="K70" i="24"/>
  <c r="K72" i="24"/>
  <c r="K17" i="24"/>
  <c r="L20" i="24"/>
  <c r="L36" i="24"/>
  <c r="K71" i="24" l="1"/>
  <c r="K73" i="24" s="1"/>
  <c r="K18" i="24"/>
  <c r="K32" i="24" l="1"/>
  <c r="K33" i="24" s="1"/>
  <c r="K35" i="24"/>
  <c r="K37" i="24" s="1"/>
  <c r="K38" i="24" s="1"/>
  <c r="L10" i="24"/>
  <c r="L12" i="24" s="1"/>
  <c r="K23" i="24"/>
  <c r="K26" i="24" s="1"/>
  <c r="L13" i="24" l="1"/>
  <c r="L19" i="24"/>
  <c r="L14" i="24"/>
  <c r="K39" i="24"/>
  <c r="K40" i="24" s="1"/>
  <c r="L21" i="24" l="1"/>
  <c r="L69" i="24"/>
  <c r="L31" i="24"/>
  <c r="L16" i="24"/>
  <c r="L67" i="24"/>
  <c r="L68" i="24"/>
  <c r="L29" i="24" l="1"/>
  <c r="L30" i="24"/>
  <c r="M20" i="24"/>
  <c r="L17" i="24"/>
  <c r="L71" i="24" s="1"/>
  <c r="M36" i="24"/>
  <c r="L72" i="24"/>
  <c r="L70" i="24"/>
  <c r="L73" i="24" l="1"/>
  <c r="L35" i="24" s="1"/>
  <c r="L37" i="24" s="1"/>
  <c r="L38" i="24" s="1"/>
  <c r="L18" i="24"/>
  <c r="L32" i="24" l="1"/>
  <c r="L33" i="24" s="1"/>
  <c r="M10" i="24"/>
  <c r="M12" i="24" s="1"/>
  <c r="M14" i="24" s="1"/>
  <c r="L23" i="24"/>
  <c r="L26" i="24" s="1"/>
  <c r="L39" i="24" l="1"/>
  <c r="L40" i="24" s="1"/>
  <c r="M13" i="24"/>
  <c r="M31" i="24" s="1"/>
  <c r="M19" i="24"/>
  <c r="M21" i="24" s="1"/>
  <c r="M69" i="24" l="1"/>
  <c r="M16" i="24"/>
  <c r="M68" i="24"/>
  <c r="M67" i="24"/>
  <c r="M72" i="24" s="1"/>
  <c r="M17" i="24" l="1"/>
  <c r="M71" i="24" s="1"/>
  <c r="M29" i="24"/>
  <c r="M30" i="24"/>
  <c r="N20" i="24"/>
  <c r="N36" i="24"/>
  <c r="M70" i="24"/>
  <c r="M73" i="24" l="1"/>
  <c r="M35" i="24" s="1"/>
  <c r="M37" i="24" s="1"/>
  <c r="M38" i="24" s="1"/>
  <c r="M18" i="24"/>
  <c r="M23" i="24" s="1"/>
  <c r="M26" i="24" s="1"/>
  <c r="M32" i="24" l="1"/>
  <c r="M33" i="24" s="1"/>
  <c r="N10" i="24"/>
  <c r="M39" i="24" s="1"/>
  <c r="M40" i="24" s="1"/>
  <c r="N12" i="24"/>
  <c r="N14" i="24" l="1"/>
  <c r="N19" i="24"/>
  <c r="N13" i="24"/>
  <c r="N21" i="24" l="1"/>
  <c r="N31" i="24"/>
  <c r="N69" i="24"/>
  <c r="N67" i="24"/>
  <c r="N16" i="24"/>
  <c r="N68" i="24"/>
  <c r="N29" i="24" l="1"/>
  <c r="N30" i="24"/>
  <c r="O20" i="24"/>
  <c r="N17" i="24"/>
  <c r="O36" i="24"/>
  <c r="N70" i="24"/>
  <c r="N72" i="24"/>
  <c r="N71" i="24" l="1"/>
  <c r="N73" i="24" s="1"/>
  <c r="N18" i="24"/>
  <c r="N32" i="24" l="1"/>
  <c r="N33" i="24" s="1"/>
  <c r="N35" i="24"/>
  <c r="N37" i="24" s="1"/>
  <c r="N38" i="24" s="1"/>
  <c r="O10" i="24"/>
  <c r="O12" i="24" s="1"/>
  <c r="N23" i="24"/>
  <c r="N26" i="24" s="1"/>
  <c r="N39" i="24" l="1"/>
  <c r="N40" i="24" s="1"/>
  <c r="O19" i="24"/>
  <c r="O14" i="24"/>
  <c r="O21" i="24" s="1"/>
  <c r="O13" i="24"/>
  <c r="O67" i="24" l="1"/>
  <c r="O16" i="24"/>
  <c r="O68" i="24"/>
  <c r="O69" i="24"/>
  <c r="O31" i="24"/>
  <c r="O30" i="24" l="1"/>
  <c r="O29" i="24"/>
  <c r="O70" i="24"/>
  <c r="O72" i="24"/>
  <c r="P36" i="24"/>
  <c r="P20" i="24"/>
  <c r="O17" i="24"/>
  <c r="O71" i="24" l="1"/>
  <c r="O73" i="24" s="1"/>
  <c r="O18" i="24"/>
  <c r="O23" i="24" l="1"/>
  <c r="O26" i="24" s="1"/>
  <c r="O35" i="24"/>
  <c r="O37" i="24" s="1"/>
  <c r="O38" i="24" s="1"/>
  <c r="P10" i="24"/>
  <c r="P12" i="24" s="1"/>
  <c r="O32" i="24"/>
  <c r="O33" i="24" s="1"/>
  <c r="P14" i="24" l="1"/>
  <c r="P13" i="24"/>
  <c r="P19" i="24"/>
  <c r="O39" i="24"/>
  <c r="O40" i="24" s="1"/>
  <c r="P21" i="24" l="1"/>
  <c r="P67" i="24"/>
  <c r="P16" i="24"/>
  <c r="P69" i="24"/>
  <c r="P31" i="24"/>
  <c r="P68" i="24"/>
  <c r="P29" i="24" l="1"/>
  <c r="P30" i="24"/>
  <c r="Q20" i="24"/>
  <c r="P17" i="24"/>
  <c r="Q36" i="24"/>
  <c r="P72" i="24"/>
  <c r="P70" i="24"/>
  <c r="P71" i="24" l="1"/>
  <c r="P73" i="24" s="1"/>
  <c r="P18" i="24"/>
  <c r="P23" i="24" l="1"/>
  <c r="P26" i="24" s="1"/>
  <c r="P32" i="24"/>
  <c r="P33" i="24" s="1"/>
  <c r="P35" i="24"/>
  <c r="P37" i="24" s="1"/>
  <c r="P38" i="24" s="1"/>
  <c r="Q10" i="24"/>
  <c r="Q12" i="24" s="1"/>
  <c r="Q14" i="24" l="1"/>
  <c r="Q13" i="24"/>
  <c r="Q19" i="24"/>
  <c r="P39" i="24"/>
  <c r="P40" i="24" s="1"/>
  <c r="Q21" i="24" l="1"/>
  <c r="Q67" i="24"/>
  <c r="Q16" i="24"/>
  <c r="Q31" i="24"/>
  <c r="Q69" i="24"/>
  <c r="Q68" i="24"/>
  <c r="Q29" i="24" l="1"/>
  <c r="Q30" i="24"/>
  <c r="R20" i="24"/>
  <c r="Q17" i="24"/>
  <c r="R36" i="24"/>
  <c r="Q72" i="24"/>
  <c r="Q70" i="24"/>
  <c r="Q71" i="24" l="1"/>
  <c r="Q73" i="24" s="1"/>
  <c r="Q18" i="24"/>
  <c r="Q23" i="24" l="1"/>
  <c r="Q26" i="24" s="1"/>
  <c r="Q35" i="24"/>
  <c r="Q37" i="24" s="1"/>
  <c r="Q38" i="24" s="1"/>
  <c r="R10" i="24"/>
  <c r="R12" i="24" s="1"/>
  <c r="Q32" i="24"/>
  <c r="Q33" i="24" s="1"/>
  <c r="R14" i="24" l="1"/>
  <c r="R13" i="24"/>
  <c r="R19" i="24"/>
  <c r="Q39" i="24"/>
  <c r="Q40" i="24" s="1"/>
  <c r="R67" i="24" l="1"/>
  <c r="R16" i="24"/>
  <c r="R68" i="24"/>
  <c r="R31" i="24"/>
  <c r="R69" i="24"/>
  <c r="R21" i="24"/>
  <c r="R30" i="24" l="1"/>
  <c r="R29" i="24"/>
  <c r="R17" i="24"/>
  <c r="R72" i="24"/>
  <c r="R70" i="24"/>
  <c r="R71" i="24" l="1"/>
  <c r="R73" i="24" s="1"/>
  <c r="R18" i="24"/>
  <c r="R23" i="24" l="1"/>
  <c r="R26" i="24" s="1"/>
  <c r="R35" i="24"/>
  <c r="R37" i="24" s="1"/>
  <c r="R38" i="24" s="1"/>
  <c r="R32" i="24"/>
  <c r="R33" i="24" s="1"/>
  <c r="S10" i="24"/>
  <c r="R39" i="24" s="1"/>
  <c r="R40" i="24" s="1"/>
</calcChain>
</file>

<file path=xl/sharedStrings.xml><?xml version="1.0" encoding="utf-8"?>
<sst xmlns="http://schemas.openxmlformats.org/spreadsheetml/2006/main" count="164" uniqueCount="81">
  <si>
    <t xml:space="preserve"> </t>
  </si>
  <si>
    <t>Amount Invested</t>
  </si>
  <si>
    <t>Discount on purchase</t>
  </si>
  <si>
    <t>Rent % of market val.</t>
  </si>
  <si>
    <t>Year 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</si>
  <si>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</si>
  <si>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</si>
  <si>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</si>
  <si>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</si>
  <si>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</si>
  <si>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</si>
  <si>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</si>
  <si>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</si>
  <si>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</si>
  <si>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</si>
  <si>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Initial Fee</t>
  </si>
  <si>
    <t>Properties Bought</t>
  </si>
  <si>
    <t>Cost of Purchase</t>
  </si>
  <si>
    <t>Portfolio Value</t>
  </si>
  <si>
    <t>Mortgages</t>
  </si>
  <si>
    <t>Cash Left in Bank</t>
  </si>
  <si>
    <t>Initial Investment</t>
  </si>
  <si>
    <t>Growth on Investment</t>
  </si>
  <si>
    <t>Number of Properties</t>
  </si>
  <si>
    <t>Each Property Purchase</t>
  </si>
  <si>
    <t>Year Two</t>
  </si>
  <si>
    <t>Average Value</t>
  </si>
  <si>
    <t>Average Price to Investor</t>
  </si>
  <si>
    <t>Average Refurb cost</t>
  </si>
  <si>
    <t>Average sourcer fee</t>
  </si>
  <si>
    <t>Rental Agent first tenant</t>
  </si>
  <si>
    <t>Mortgage Broker</t>
  </si>
  <si>
    <t>Mortgage Valuation</t>
  </si>
  <si>
    <t>Gas certificate and EPC</t>
  </si>
  <si>
    <t>Stamp Duty</t>
  </si>
  <si>
    <t>Deposit on purchase</t>
  </si>
  <si>
    <t>Mortgage on purchase</t>
  </si>
  <si>
    <t>Money Spent on property</t>
  </si>
  <si>
    <t>Average Done up price</t>
  </si>
  <si>
    <t>Mortgage as above</t>
  </si>
  <si>
    <t>Equity</t>
  </si>
  <si>
    <t>Mortgage payment</t>
  </si>
  <si>
    <t>Let. Agency fees % of rent</t>
  </si>
  <si>
    <t>Net Rent Income</t>
  </si>
  <si>
    <t>House price growth</t>
  </si>
  <si>
    <t>Value of Investment</t>
  </si>
  <si>
    <t>Mortgage Finance</t>
  </si>
  <si>
    <t xml:space="preserve">PI Sourcing Fee </t>
  </si>
  <si>
    <t>Solicitors purchase</t>
  </si>
  <si>
    <t>Independent RISC valuation</t>
  </si>
  <si>
    <t>Void Period p.a.</t>
  </si>
  <si>
    <t>individual Property Value after refurb</t>
  </si>
  <si>
    <t>Mortgage Rate</t>
  </si>
  <si>
    <t>Void period</t>
  </si>
  <si>
    <t>Net Rental Income</t>
  </si>
  <si>
    <t>Total growth this year</t>
  </si>
  <si>
    <t>ROI</t>
  </si>
  <si>
    <t>Progressive ROI</t>
  </si>
  <si>
    <t>Twelve</t>
  </si>
  <si>
    <t>Thirteen</t>
  </si>
  <si>
    <t>Fourteen</t>
  </si>
  <si>
    <t>Fifteen</t>
  </si>
  <si>
    <t>Refinance from price increases (previous Props)</t>
  </si>
  <si>
    <t>Refinance release (this year bought)</t>
  </si>
  <si>
    <t>Net Equity growth based on 0% year one and then 5%</t>
  </si>
  <si>
    <t>Release at 5% growth plus rental profit</t>
  </si>
  <si>
    <t xml:space="preserve">Maintenance </t>
  </si>
  <si>
    <t xml:space="preserve">Insurance </t>
  </si>
  <si>
    <t>Maintenance per property</t>
  </si>
  <si>
    <t>Insurance per property</t>
  </si>
  <si>
    <t>Rent income % of Value</t>
  </si>
  <si>
    <t>Cash and Equity Value</t>
  </si>
  <si>
    <t>Refinance within 6 months</t>
  </si>
  <si>
    <t>x</t>
  </si>
  <si>
    <t>Property Market is up by</t>
  </si>
  <si>
    <t>All costs go up by</t>
  </si>
  <si>
    <t>Cash In Bank</t>
  </si>
  <si>
    <t>Cash Amount to release based on house price growth from the top</t>
  </si>
  <si>
    <t>Cash amount to release based on 7.9% growth</t>
  </si>
  <si>
    <t>Investment performance</t>
  </si>
  <si>
    <t xml:space="preserve">Cash Flow Builder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</si>
</sst>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8" formatCode="&quot;£&quot;#,##0.00;[Red]\-&quot;£&quot;#,##0.00"/>
    <numFmt numFmtId="164" formatCode="_ * #,##0_)\ _T_R_Y_ ;_ * \(#,##0\)\ _T_R_Y_ ;_ * &quot;-&quot;_)\ _T_R_Y_ ;_ @_ "/>
    <numFmt numFmtId="165" formatCode="_ * #,##0.00_)\ _T_R_Y_ ;_ * \(#,##0.00\)\ _T_R_Y_ ;_ * &quot;-&quot;??_)\ _T_R_Y_ ;_ @_ "/>
    <numFmt numFmtId="166" formatCode="[$£-809]#,##0"/>
    <numFmt numFmtId="167" formatCode="0.0%"/>
    <numFmt numFmtId="168" formatCode="_ * #,##0_)\ _T_R_Y_ ;_ * \(#,##0\)\ _T_R_Y_ ;_ * &quot;-&quot;??_)\ _T_R_Y_ ;_ @_ "/>
    <numFmt numFmtId="169" formatCode="&quot;£&quot;#,##0"/>
    <numFmt numFmtId="170" formatCode="#,##0_ ;[Red]\-#,##0\ 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 style="dashed">
        <color auto="1"/>
      </bottom>
      <diagonal/>
    </border>
    <border>
      <left/>
      <right style="dashed">
        <color auto="1"/>
      </right>
      <top style="thin">
        <color theme="3" tint="0.79998168889431442"/>
      </top>
      <bottom style="dashed">
        <color auto="1"/>
      </bottom>
      <diagonal/>
    </border>
  </borders>
  <cellStyleXfs count="621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0" fillId="5" borderId="0" xfId="0" applyFill="1"/>
    <xf numFmtId="170" fontId="0" fillId="5" borderId="0" xfId="0" applyNumberFormat="1" applyFill="1"/>
    <xf numFmtId="6" fontId="0" fillId="5" borderId="0" xfId="0" applyNumberFormat="1" applyFill="1"/>
    <xf numFmtId="169" fontId="0" fillId="5" borderId="0" xfId="0" applyNumberFormat="1" applyFill="1"/>
    <xf numFmtId="167" fontId="0" fillId="5" borderId="0" xfId="0" applyNumberFormat="1" applyFill="1"/>
    <xf numFmtId="0" fontId="6" fillId="5" borderId="0" xfId="0" applyFont="1" applyFill="1"/>
    <xf numFmtId="169" fontId="6" fillId="5" borderId="0" xfId="0" applyNumberFormat="1" applyFont="1" applyFill="1" applyAlignment="1">
      <alignment horizontal="right"/>
    </xf>
    <xf numFmtId="0" fontId="6" fillId="5" borderId="0" xfId="0" applyFont="1" applyFill="1" applyAlignment="1">
      <alignment horizontal="right"/>
    </xf>
    <xf numFmtId="6" fontId="6" fillId="5" borderId="0" xfId="0" applyNumberFormat="1" applyFont="1" applyFill="1" applyAlignment="1">
      <alignment horizontal="right"/>
    </xf>
    <xf numFmtId="169" fontId="2" fillId="5" borderId="0" xfId="0" applyNumberFormat="1" applyFont="1" applyFill="1" applyAlignment="1">
      <alignment horizontal="right"/>
    </xf>
    <xf numFmtId="167" fontId="2" fillId="5" borderId="0" xfId="0" applyNumberFormat="1" applyFont="1" applyFill="1" applyAlignment="1">
      <alignment horizontal="right"/>
    </xf>
    <xf numFmtId="169" fontId="1" fillId="5" borderId="0" xfId="0" applyNumberFormat="1" applyFont="1" applyFill="1" applyAlignment="1">
      <alignment horizontal="right"/>
    </xf>
    <xf numFmtId="167" fontId="1" fillId="5" borderId="0" xfId="0" applyNumberFormat="1" applyFont="1" applyFill="1" applyAlignment="1">
      <alignment horizontal="right"/>
    </xf>
    <xf numFmtId="0" fontId="5" fillId="5" borderId="0" xfId="0" applyFont="1" applyFill="1"/>
    <xf numFmtId="1" fontId="0" fillId="5" borderId="0" xfId="0" applyNumberFormat="1" applyFill="1"/>
    <xf numFmtId="9" fontId="0" fillId="5" borderId="0" xfId="0" applyNumberFormat="1" applyFill="1"/>
    <xf numFmtId="167" fontId="11" fillId="5" borderId="0" xfId="2" applyNumberFormat="1" applyFont="1" applyFill="1" applyAlignment="1">
      <alignment horizontal="right" wrapText="1"/>
    </xf>
    <xf numFmtId="8" fontId="0" fillId="5" borderId="0" xfId="0" applyNumberFormat="1" applyFill="1"/>
    <xf numFmtId="0" fontId="0" fillId="5" borderId="0" xfId="0" applyFill="1" applyAlignment="1">
      <alignment horizontal="left"/>
    </xf>
    <xf numFmtId="167" fontId="0" fillId="5" borderId="0" xfId="0" applyNumberFormat="1" applyFill="1" applyAlignment="1">
      <alignment horizontal="center"/>
    </xf>
    <xf numFmtId="169" fontId="0" fillId="5" borderId="0" xfId="0" applyNumberFormat="1" applyFill="1" applyAlignment="1">
      <alignment horizontal="right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9" fontId="7" fillId="5" borderId="0" xfId="0" applyNumberFormat="1" applyFont="1" applyFill="1" applyAlignment="1">
      <alignment horizontal="right"/>
    </xf>
    <xf numFmtId="167" fontId="11" fillId="5" borderId="0" xfId="2" applyNumberFormat="1" applyFont="1" applyFill="1" applyAlignment="1">
      <alignment horizontal="center" wrapText="1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169" fontId="4" fillId="5" borderId="0" xfId="0" applyNumberFormat="1" applyFont="1" applyFill="1" applyAlignment="1">
      <alignment horizontal="right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/>
    <xf numFmtId="0" fontId="0" fillId="0" borderId="0" xfId="0" applyProtection="1"/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6" fontId="0" fillId="4" borderId="1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0" borderId="0" xfId="0" applyNumberFormat="1" applyProtection="1">
      <protection locked="0"/>
    </xf>
    <xf numFmtId="168" fontId="0" fillId="4" borderId="0" xfId="1" applyNumberFormat="1" applyFont="1" applyFill="1" applyProtection="1">
      <protection locked="0"/>
    </xf>
    <xf numFmtId="0" fontId="10" fillId="4" borderId="0" xfId="0" applyFont="1" applyFill="1" applyProtection="1">
      <protection locked="0"/>
    </xf>
    <xf numFmtId="167" fontId="10" fillId="4" borderId="0" xfId="2" applyNumberFormat="1" applyFont="1" applyFill="1" applyProtection="1">
      <protection locked="0"/>
    </xf>
    <xf numFmtId="1" fontId="0" fillId="0" borderId="0" xfId="0" applyNumberFormat="1" applyProtection="1">
      <protection locked="0"/>
    </xf>
    <xf numFmtId="1" fontId="0" fillId="4" borderId="0" xfId="0" applyNumberFormat="1" applyFill="1" applyProtection="1">
      <protection locked="0"/>
    </xf>
    <xf numFmtId="6" fontId="0" fillId="4" borderId="0" xfId="0" applyNumberFormat="1" applyFill="1" applyProtection="1">
      <protection locked="0"/>
    </xf>
    <xf numFmtId="166" fontId="0" fillId="4" borderId="0" xfId="0" applyNumberFormat="1" applyFill="1" applyProtection="1">
      <protection locked="0"/>
    </xf>
    <xf numFmtId="0" fontId="11" fillId="4" borderId="0" xfId="0" applyFont="1" applyFill="1" applyProtection="1">
      <protection locked="0"/>
    </xf>
    <xf numFmtId="166" fontId="11" fillId="4" borderId="0" xfId="0" applyNumberFormat="1" applyFont="1" applyFill="1" applyProtection="1">
      <protection locked="0"/>
    </xf>
    <xf numFmtId="6" fontId="11" fillId="4" borderId="0" xfId="0" applyNumberFormat="1" applyFont="1" applyFill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1" xfId="0" applyBorder="1" applyProtection="1">
      <protection locked="0"/>
    </xf>
    <xf numFmtId="166" fontId="4" fillId="6" borderId="0" xfId="0" applyNumberFormat="1" applyFont="1" applyFill="1" applyBorder="1" applyProtection="1">
      <protection locked="0"/>
    </xf>
    <xf numFmtId="167" fontId="4" fillId="6" borderId="0" xfId="2" applyNumberFormat="1" applyFont="1" applyFill="1" applyBorder="1" applyProtection="1">
      <protection locked="0"/>
    </xf>
    <xf numFmtId="10" fontId="4" fillId="6" borderId="0" xfId="0" applyNumberFormat="1" applyFont="1" applyFill="1" applyBorder="1" applyProtection="1">
      <protection locked="0"/>
    </xf>
    <xf numFmtId="9" fontId="4" fillId="6" borderId="0" xfId="0" applyNumberFormat="1" applyFont="1" applyFill="1" applyBorder="1" applyProtection="1">
      <protection locked="0"/>
    </xf>
    <xf numFmtId="10" fontId="4" fillId="6" borderId="9" xfId="2" applyNumberFormat="1" applyFont="1" applyFill="1" applyBorder="1" applyProtection="1">
      <protection locked="0"/>
    </xf>
    <xf numFmtId="0" fontId="6" fillId="6" borderId="0" xfId="0" applyFont="1" applyFill="1" applyProtection="1"/>
    <xf numFmtId="10" fontId="4" fillId="6" borderId="7" xfId="0" applyNumberFormat="1" applyFont="1" applyFill="1" applyBorder="1" applyProtection="1">
      <protection locked="0"/>
    </xf>
    <xf numFmtId="9" fontId="4" fillId="6" borderId="7" xfId="0" applyNumberFormat="1" applyFont="1" applyFill="1" applyBorder="1" applyProtection="1">
      <protection locked="0"/>
    </xf>
    <xf numFmtId="0" fontId="0" fillId="0" borderId="12" xfId="0" applyBorder="1" applyProtection="1">
      <protection locked="0"/>
    </xf>
    <xf numFmtId="9" fontId="4" fillId="0" borderId="7" xfId="0" applyNumberFormat="1" applyFont="1" applyFill="1" applyBorder="1" applyProtection="1">
      <protection locked="0"/>
    </xf>
    <xf numFmtId="0" fontId="0" fillId="3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protection locked="0"/>
    </xf>
    <xf numFmtId="0" fontId="4" fillId="2" borderId="8" xfId="0" applyFont="1" applyFill="1" applyBorder="1" applyProtection="1">
      <protection locked="0"/>
    </xf>
    <xf numFmtId="0" fontId="11" fillId="2" borderId="0" xfId="0" applyFont="1" applyFill="1" applyProtection="1"/>
    <xf numFmtId="0" fontId="4" fillId="2" borderId="0" xfId="0" applyFont="1" applyFill="1" applyProtection="1"/>
    <xf numFmtId="0" fontId="12" fillId="6" borderId="0" xfId="0" applyFont="1" applyFill="1" applyProtection="1"/>
    <xf numFmtId="0" fontId="13" fillId="0" borderId="0" xfId="0" applyFont="1" applyProtection="1"/>
    <xf numFmtId="3" fontId="13" fillId="3" borderId="0" xfId="0" applyNumberFormat="1" applyFont="1" applyFill="1" applyProtection="1">
      <protection hidden="1"/>
    </xf>
    <xf numFmtId="3" fontId="13" fillId="2" borderId="0" xfId="0" applyNumberFormat="1" applyFont="1" applyFill="1" applyProtection="1">
      <protection hidden="1"/>
    </xf>
    <xf numFmtId="3" fontId="14" fillId="6" borderId="0" xfId="0" applyNumberFormat="1" applyFont="1" applyFill="1" applyProtection="1">
      <protection hidden="1"/>
    </xf>
    <xf numFmtId="0" fontId="14" fillId="6" borderId="0" xfId="0" applyFont="1" applyFill="1" applyProtection="1">
      <protection hidden="1"/>
    </xf>
    <xf numFmtId="0" fontId="13" fillId="3" borderId="0" xfId="0" applyFont="1" applyFill="1" applyAlignment="1" applyProtection="1">
      <protection hidden="1"/>
    </xf>
    <xf numFmtId="0" fontId="13" fillId="2" borderId="0" xfId="0" applyFont="1" applyFill="1" applyAlignment="1" applyProtection="1">
      <protection hidden="1"/>
    </xf>
    <xf numFmtId="0" fontId="15" fillId="7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0" fontId="18" fillId="0" borderId="3" xfId="0" applyFont="1" applyBorder="1" applyProtection="1">
      <protection locked="0"/>
    </xf>
    <xf numFmtId="0" fontId="12" fillId="6" borderId="0" xfId="0" applyFont="1" applyFill="1" applyAlignment="1" applyProtection="1"/>
    <xf numFmtId="0" fontId="15" fillId="0" borderId="0" xfId="0" applyFont="1" applyAlignment="1">
      <alignment horizontal="center" vertical="center"/>
    </xf>
    <xf numFmtId="0" fontId="17" fillId="6" borderId="0" xfId="0" applyFont="1" applyFill="1" applyAlignment="1">
      <alignment vertical="center" wrapText="1"/>
    </xf>
  </cellXfs>
  <cellStyles count="62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pageSetUpPr fitToPage="1"/>
  </sheetPr>
  <dimension ref="B1:S107"/>
  <sheetViews>
    <sheetView showRowColHeaders="0" tabSelected="1" zoomScale="80" zoomScaleNormal="80" zoomScalePageLayoutView="78" workbookViewId="0">
      <selection activeCell="S18" sqref="S18"/>
    </sheetView>
  </sheetViews>
  <sheetFormatPr defaultColWidth="11" defaultRowHeight="15.75" x14ac:dyDescent="0.25"/>
  <cols>
    <col min="1" max="1" width="1.5" style="31" customWidth="1"/>
    <col min="2" max="2" width="36.5" style="31" customWidth="1"/>
    <col min="3" max="3" width="15.375" style="31" customWidth="1"/>
    <col min="4" max="4" width="20.5" style="31" customWidth="1"/>
    <col min="5" max="5" width="14.625" style="31" customWidth="1"/>
    <col min="6" max="19" width="13.125" style="31" customWidth="1"/>
    <col min="20" max="16384" width="11" style="31"/>
  </cols>
  <sheetData>
    <row r="1" spans="2:19" ht="4.5" customHeight="1" x14ac:dyDescent="0.25"/>
    <row r="2" spans="2:19" ht="24.95" customHeight="1" x14ac:dyDescent="0.35">
      <c r="B2" s="82" t="s">
        <v>80</v>
      </c>
      <c r="C2" s="50"/>
      <c r="D2" s="50"/>
      <c r="E2" s="51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2:19" ht="24.95" customHeight="1" x14ac:dyDescent="0.3">
      <c r="B3" s="67" t="s">
        <v>1</v>
      </c>
      <c r="C3" s="55">
        <v>120000</v>
      </c>
      <c r="D3" s="71" t="s">
        <v>52</v>
      </c>
      <c r="E3" s="61">
        <v>0.04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2:19" ht="24.95" customHeight="1" x14ac:dyDescent="0.3">
      <c r="B4" s="67" t="s">
        <v>2</v>
      </c>
      <c r="C4" s="56">
        <v>0.03</v>
      </c>
      <c r="D4" s="71" t="s">
        <v>44</v>
      </c>
      <c r="E4" s="61">
        <v>7.9000000000000001E-2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2:19" ht="24.95" customHeight="1" x14ac:dyDescent="0.3">
      <c r="B5" s="68" t="s">
        <v>3</v>
      </c>
      <c r="C5" s="57">
        <v>7.1999999999999995E-2</v>
      </c>
      <c r="D5" s="71" t="s">
        <v>75</v>
      </c>
      <c r="E5" s="62">
        <v>0.03</v>
      </c>
      <c r="F5" s="53"/>
      <c r="G5" s="53"/>
      <c r="H5" s="53"/>
      <c r="I5" s="53"/>
      <c r="J5" s="53"/>
      <c r="K5" s="53"/>
      <c r="L5" s="53"/>
      <c r="M5" s="53"/>
      <c r="N5" s="53"/>
      <c r="O5" s="53" t="s">
        <v>0</v>
      </c>
      <c r="P5" s="53"/>
      <c r="Q5" s="53"/>
      <c r="R5" s="53"/>
      <c r="S5" s="53"/>
    </row>
    <row r="6" spans="2:19" ht="24.95" customHeight="1" x14ac:dyDescent="0.3">
      <c r="B6" s="67" t="s">
        <v>46</v>
      </c>
      <c r="C6" s="58">
        <v>0.75</v>
      </c>
      <c r="D6" s="53"/>
      <c r="E6" s="64"/>
      <c r="F6" s="53"/>
      <c r="G6" s="84"/>
      <c r="H6" s="84"/>
      <c r="I6" s="84"/>
      <c r="J6" s="84"/>
      <c r="S6" s="53"/>
    </row>
    <row r="7" spans="2:19" ht="24.95" customHeight="1" x14ac:dyDescent="0.3">
      <c r="B7" s="69" t="s">
        <v>50</v>
      </c>
      <c r="C7" s="59">
        <v>5.7500000000000002E-2</v>
      </c>
      <c r="D7" s="54"/>
      <c r="E7" s="63"/>
      <c r="F7" s="52"/>
      <c r="G7" s="53"/>
      <c r="H7" s="53"/>
      <c r="I7" s="53"/>
      <c r="J7" s="53"/>
      <c r="K7" s="53"/>
    </row>
    <row r="8" spans="2:19" ht="8.25" customHeight="1" x14ac:dyDescent="0.25">
      <c r="D8" s="49"/>
      <c r="E8" s="49"/>
      <c r="F8" s="35"/>
      <c r="G8" s="35"/>
      <c r="H8" s="34"/>
      <c r="I8" s="34"/>
      <c r="J8" s="34"/>
      <c r="K8" s="36"/>
    </row>
    <row r="9" spans="2:19" ht="17.25" x14ac:dyDescent="0.25">
      <c r="B9" s="81" t="s">
        <v>79</v>
      </c>
      <c r="C9" s="80"/>
      <c r="D9" s="80"/>
      <c r="E9" s="80"/>
      <c r="F9" s="65" t="s">
        <v>6</v>
      </c>
      <c r="G9" s="66" t="s">
        <v>7</v>
      </c>
      <c r="H9" s="65" t="s">
        <v>8</v>
      </c>
      <c r="I9" s="66" t="s">
        <v>9</v>
      </c>
      <c r="J9" s="65" t="s">
        <v>10</v>
      </c>
      <c r="K9" s="66" t="s">
        <v>11</v>
      </c>
      <c r="L9" s="65" t="s">
        <v>12</v>
      </c>
      <c r="M9" s="66" t="s">
        <v>13</v>
      </c>
      <c r="N9" s="65" t="s">
        <v>14</v>
      </c>
      <c r="O9" s="66" t="s">
        <v>58</v>
      </c>
      <c r="P9" s="65" t="s">
        <v>59</v>
      </c>
      <c r="Q9" s="66" t="s">
        <v>60</v>
      </c>
      <c r="R9" s="65" t="s">
        <v>61</v>
      </c>
      <c r="S9" s="33"/>
    </row>
    <row r="10" spans="2:19" ht="18.75" x14ac:dyDescent="0.3">
      <c r="B10" s="70" t="s">
        <v>76</v>
      </c>
      <c r="C10" s="32"/>
      <c r="D10" s="74">
        <f>C3</f>
        <v>120000</v>
      </c>
      <c r="E10" s="75">
        <f t="shared" ref="E10:L10" si="0">D21+(D73)</f>
        <v>19617.119999999995</v>
      </c>
      <c r="F10" s="74">
        <f t="shared" si="0"/>
        <v>53296.293479999993</v>
      </c>
      <c r="G10" s="75">
        <f t="shared" si="0"/>
        <v>40382.414397559995</v>
      </c>
      <c r="H10" s="74">
        <f t="shared" si="0"/>
        <v>73257.195385198225</v>
      </c>
      <c r="I10" s="75">
        <f t="shared" si="0"/>
        <v>68818.829087145612</v>
      </c>
      <c r="J10" s="74">
        <f t="shared" si="0"/>
        <v>74634.427937339642</v>
      </c>
      <c r="K10" s="75">
        <f t="shared" si="0"/>
        <v>92441.639312514963</v>
      </c>
      <c r="L10" s="74">
        <f t="shared" si="0"/>
        <v>124188.07407749566</v>
      </c>
      <c r="M10" s="75">
        <f>L21+(L73)+5000</f>
        <v>125629.44499648281</v>
      </c>
      <c r="N10" s="74">
        <f t="shared" ref="N10:S10" si="1">M21+(M73)</f>
        <v>150751.7503141801</v>
      </c>
      <c r="O10" s="75">
        <f t="shared" si="1"/>
        <v>209310.97581166675</v>
      </c>
      <c r="P10" s="74">
        <f t="shared" si="1"/>
        <v>306634.22765953199</v>
      </c>
      <c r="Q10" s="75">
        <f t="shared" si="1"/>
        <v>316060.86489963275</v>
      </c>
      <c r="R10" s="74">
        <f t="shared" si="1"/>
        <v>475961.553080532</v>
      </c>
      <c r="S10" s="74">
        <f t="shared" si="1"/>
        <v>562219.51340097119</v>
      </c>
    </row>
    <row r="11" spans="2:19" s="1" customFormat="1" hidden="1" x14ac:dyDescent="0.25">
      <c r="B11" s="1" t="s">
        <v>15</v>
      </c>
      <c r="D11" s="2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 t="s">
        <v>73</v>
      </c>
    </row>
    <row r="12" spans="2:19" s="1" customFormat="1" hidden="1" x14ac:dyDescent="0.25">
      <c r="B12" s="1" t="s">
        <v>16</v>
      </c>
      <c r="D12" s="1">
        <f t="shared" ref="D12:R12" si="2">ROUNDDOWN((D10-D11-$E$6)/D59,0)</f>
        <v>3</v>
      </c>
      <c r="E12" s="1">
        <f t="shared" si="2"/>
        <v>0</v>
      </c>
      <c r="F12" s="1">
        <f t="shared" si="2"/>
        <v>1</v>
      </c>
      <c r="G12" s="1">
        <f t="shared" si="2"/>
        <v>0</v>
      </c>
      <c r="H12" s="1">
        <f t="shared" si="2"/>
        <v>1</v>
      </c>
      <c r="I12" s="1">
        <f t="shared" si="2"/>
        <v>1</v>
      </c>
      <c r="J12" s="1">
        <f t="shared" si="2"/>
        <v>1</v>
      </c>
      <c r="K12" s="1">
        <f t="shared" si="2"/>
        <v>1</v>
      </c>
      <c r="L12" s="1">
        <f t="shared" si="2"/>
        <v>2</v>
      </c>
      <c r="M12" s="1">
        <f t="shared" si="2"/>
        <v>2</v>
      </c>
      <c r="N12" s="1">
        <f t="shared" si="2"/>
        <v>2</v>
      </c>
      <c r="O12" s="1">
        <f t="shared" si="2"/>
        <v>2</v>
      </c>
      <c r="P12" s="1">
        <f t="shared" si="2"/>
        <v>4</v>
      </c>
      <c r="Q12" s="1">
        <f t="shared" si="2"/>
        <v>3</v>
      </c>
      <c r="R12" s="1">
        <f t="shared" si="2"/>
        <v>5</v>
      </c>
      <c r="S12" s="1" t="s">
        <v>73</v>
      </c>
    </row>
    <row r="13" spans="2:19" ht="18.75" x14ac:dyDescent="0.3">
      <c r="B13" s="70" t="s">
        <v>23</v>
      </c>
      <c r="C13" s="32"/>
      <c r="D13" s="78">
        <f t="shared" ref="D13:N13" si="3">C13+D12</f>
        <v>3</v>
      </c>
      <c r="E13" s="79">
        <f t="shared" si="3"/>
        <v>3</v>
      </c>
      <c r="F13" s="78">
        <f t="shared" si="3"/>
        <v>4</v>
      </c>
      <c r="G13" s="79">
        <f t="shared" si="3"/>
        <v>4</v>
      </c>
      <c r="H13" s="78">
        <f t="shared" si="3"/>
        <v>5</v>
      </c>
      <c r="I13" s="79">
        <f t="shared" si="3"/>
        <v>6</v>
      </c>
      <c r="J13" s="78">
        <f t="shared" si="3"/>
        <v>7</v>
      </c>
      <c r="K13" s="79">
        <f t="shared" si="3"/>
        <v>8</v>
      </c>
      <c r="L13" s="78">
        <f t="shared" si="3"/>
        <v>10</v>
      </c>
      <c r="M13" s="79">
        <f t="shared" si="3"/>
        <v>12</v>
      </c>
      <c r="N13" s="78">
        <f t="shared" si="3"/>
        <v>14</v>
      </c>
      <c r="O13" s="79">
        <f t="shared" ref="O13" si="4">N13+O12</f>
        <v>16</v>
      </c>
      <c r="P13" s="78">
        <f t="shared" ref="P13" si="5">O13+P12</f>
        <v>20</v>
      </c>
      <c r="Q13" s="79">
        <f t="shared" ref="Q13" si="6">P13+Q12</f>
        <v>23</v>
      </c>
      <c r="R13" s="78">
        <f t="shared" ref="R13" si="7">Q13+R12</f>
        <v>28</v>
      </c>
      <c r="S13" s="73"/>
    </row>
    <row r="14" spans="2:19" s="1" customFormat="1" hidden="1" x14ac:dyDescent="0.25">
      <c r="B14" s="1" t="s">
        <v>17</v>
      </c>
      <c r="D14" s="3">
        <f t="shared" ref="D14:R14" si="8">D12*D59</f>
        <v>104742</v>
      </c>
      <c r="E14" s="3">
        <f t="shared" si="8"/>
        <v>0</v>
      </c>
      <c r="F14" s="3">
        <f t="shared" si="8"/>
        <v>39566.330004000003</v>
      </c>
      <c r="G14" s="3">
        <f t="shared" si="8"/>
        <v>0</v>
      </c>
      <c r="H14" s="3">
        <f t="shared" si="8"/>
        <v>44916.870741743958</v>
      </c>
      <c r="I14" s="3">
        <f t="shared" si="8"/>
        <v>47887.883745547435</v>
      </c>
      <c r="J14" s="3">
        <f t="shared" si="8"/>
        <v>51076.284183107549</v>
      </c>
      <c r="K14" s="3">
        <f t="shared" si="8"/>
        <v>54498.725983884775</v>
      </c>
      <c r="L14" s="3">
        <f t="shared" si="8"/>
        <v>116346.32629486549</v>
      </c>
      <c r="M14" s="3">
        <f t="shared" si="8"/>
        <v>124237.9039624513</v>
      </c>
      <c r="N14" s="3">
        <f t="shared" si="8"/>
        <v>132713.92280248512</v>
      </c>
      <c r="O14" s="3">
        <f t="shared" si="8"/>
        <v>141819.38386369159</v>
      </c>
      <c r="P14" s="3">
        <f t="shared" si="8"/>
        <v>303205.61636705539</v>
      </c>
      <c r="Q14" s="3">
        <f t="shared" si="8"/>
        <v>243174.77072170353</v>
      </c>
      <c r="R14" s="3">
        <f t="shared" si="8"/>
        <v>433542.28675946989</v>
      </c>
      <c r="S14" s="1" t="s">
        <v>73</v>
      </c>
    </row>
    <row r="15" spans="2:19" s="1" customFormat="1" hidden="1" x14ac:dyDescent="0.25">
      <c r="B15" s="1" t="s">
        <v>51</v>
      </c>
      <c r="D15" s="3">
        <f t="shared" ref="D15:R15" si="9">D61</f>
        <v>93000</v>
      </c>
      <c r="E15" s="3">
        <f t="shared" si="9"/>
        <v>100347</v>
      </c>
      <c r="F15" s="3">
        <f t="shared" si="9"/>
        <v>108274.413</v>
      </c>
      <c r="G15" s="3">
        <f t="shared" si="9"/>
        <v>116828.091627</v>
      </c>
      <c r="H15" s="3">
        <f t="shared" si="9"/>
        <v>126057.510865533</v>
      </c>
      <c r="I15" s="3">
        <f t="shared" si="9"/>
        <v>136016.05422391009</v>
      </c>
      <c r="J15" s="3">
        <f t="shared" si="9"/>
        <v>146761.32250759899</v>
      </c>
      <c r="K15" s="3">
        <f t="shared" si="9"/>
        <v>158355.46698569931</v>
      </c>
      <c r="L15" s="3">
        <f t="shared" si="9"/>
        <v>170865.54887756956</v>
      </c>
      <c r="M15" s="3">
        <f t="shared" si="9"/>
        <v>184363.92723889754</v>
      </c>
      <c r="N15" s="3">
        <f t="shared" si="9"/>
        <v>198928.67749077044</v>
      </c>
      <c r="O15" s="3">
        <f t="shared" si="9"/>
        <v>214644.04301254128</v>
      </c>
      <c r="P15" s="3">
        <f t="shared" si="9"/>
        <v>231600.92241053205</v>
      </c>
      <c r="Q15" s="3">
        <f t="shared" si="9"/>
        <v>249897.39528096406</v>
      </c>
      <c r="R15" s="3">
        <f t="shared" si="9"/>
        <v>269639.2895081602</v>
      </c>
      <c r="S15" s="1" t="s">
        <v>73</v>
      </c>
    </row>
    <row r="16" spans="2:19" ht="18.75" x14ac:dyDescent="0.3">
      <c r="B16" s="70" t="s">
        <v>18</v>
      </c>
      <c r="C16" s="32"/>
      <c r="D16" s="74">
        <f>D15*D13</f>
        <v>279000</v>
      </c>
      <c r="E16" s="75">
        <f>E15*E13</f>
        <v>301041</v>
      </c>
      <c r="F16" s="74">
        <f t="shared" ref="F16:N16" si="10">F15*F13</f>
        <v>433097.652</v>
      </c>
      <c r="G16" s="75">
        <f t="shared" si="10"/>
        <v>467312.36650800001</v>
      </c>
      <c r="H16" s="74">
        <f t="shared" si="10"/>
        <v>630287.55432766501</v>
      </c>
      <c r="I16" s="75">
        <f t="shared" si="10"/>
        <v>816096.32534346054</v>
      </c>
      <c r="J16" s="74">
        <f t="shared" si="10"/>
        <v>1027329.2575531929</v>
      </c>
      <c r="K16" s="75">
        <f t="shared" si="10"/>
        <v>1266843.7358855945</v>
      </c>
      <c r="L16" s="74">
        <f t="shared" si="10"/>
        <v>1708655.4887756957</v>
      </c>
      <c r="M16" s="75">
        <f t="shared" si="10"/>
        <v>2212367.1268667704</v>
      </c>
      <c r="N16" s="74">
        <f t="shared" si="10"/>
        <v>2785001.4848707863</v>
      </c>
      <c r="O16" s="75">
        <f t="shared" ref="O16:R16" si="11">O15*O13</f>
        <v>3434304.6882006605</v>
      </c>
      <c r="P16" s="74">
        <f t="shared" si="11"/>
        <v>4632018.4482106408</v>
      </c>
      <c r="Q16" s="75">
        <f t="shared" si="11"/>
        <v>5747640.0914621735</v>
      </c>
      <c r="R16" s="74">
        <f t="shared" si="11"/>
        <v>7549900.1062284857</v>
      </c>
      <c r="S16" s="73"/>
    </row>
    <row r="17" spans="2:19" s="1" customFormat="1" hidden="1" x14ac:dyDescent="0.25">
      <c r="B17" s="1" t="s">
        <v>19</v>
      </c>
      <c r="D17" s="3">
        <f>D57*D12</f>
        <v>196425</v>
      </c>
      <c r="E17" s="3">
        <f t="shared" ref="E17:R17" si="12">E16*$C$6</f>
        <v>225780.75</v>
      </c>
      <c r="F17" s="3">
        <f t="shared" si="12"/>
        <v>324823.239</v>
      </c>
      <c r="G17" s="3">
        <f t="shared" si="12"/>
        <v>350484.27488099999</v>
      </c>
      <c r="H17" s="3">
        <f t="shared" si="12"/>
        <v>472715.66574574879</v>
      </c>
      <c r="I17" s="3">
        <f t="shared" si="12"/>
        <v>612072.24400759535</v>
      </c>
      <c r="J17" s="3">
        <f t="shared" si="12"/>
        <v>770496.94316489471</v>
      </c>
      <c r="K17" s="3">
        <f t="shared" si="12"/>
        <v>950132.80191419588</v>
      </c>
      <c r="L17" s="3">
        <f t="shared" si="12"/>
        <v>1281491.6165817718</v>
      </c>
      <c r="M17" s="3">
        <f t="shared" si="12"/>
        <v>1659275.3451500777</v>
      </c>
      <c r="N17" s="3">
        <f t="shared" si="12"/>
        <v>2088751.1136530899</v>
      </c>
      <c r="O17" s="3">
        <f t="shared" si="12"/>
        <v>2575728.5161504955</v>
      </c>
      <c r="P17" s="3">
        <f t="shared" si="12"/>
        <v>3474013.8361579804</v>
      </c>
      <c r="Q17" s="3">
        <f t="shared" si="12"/>
        <v>4310730.0685966304</v>
      </c>
      <c r="R17" s="3">
        <f t="shared" si="12"/>
        <v>5662425.0796713643</v>
      </c>
      <c r="S17" s="1" t="s">
        <v>73</v>
      </c>
    </row>
    <row r="18" spans="2:19" ht="18.75" x14ac:dyDescent="0.3">
      <c r="B18" s="70" t="s">
        <v>40</v>
      </c>
      <c r="C18" s="32"/>
      <c r="D18" s="74">
        <f>D16-D17</f>
        <v>82575</v>
      </c>
      <c r="E18" s="75">
        <f t="shared" ref="E18:N18" si="13">E16-E17</f>
        <v>75260.25</v>
      </c>
      <c r="F18" s="74">
        <f t="shared" si="13"/>
        <v>108274.413</v>
      </c>
      <c r="G18" s="75">
        <f t="shared" si="13"/>
        <v>116828.09162700002</v>
      </c>
      <c r="H18" s="74">
        <f t="shared" si="13"/>
        <v>157571.88858191622</v>
      </c>
      <c r="I18" s="75">
        <f t="shared" si="13"/>
        <v>204024.08133586519</v>
      </c>
      <c r="J18" s="74">
        <f t="shared" si="13"/>
        <v>256832.3143882982</v>
      </c>
      <c r="K18" s="75">
        <f t="shared" si="13"/>
        <v>316710.93397139863</v>
      </c>
      <c r="L18" s="74">
        <f t="shared" si="13"/>
        <v>427163.87219392392</v>
      </c>
      <c r="M18" s="75">
        <f t="shared" si="13"/>
        <v>553091.78171669273</v>
      </c>
      <c r="N18" s="74">
        <f t="shared" si="13"/>
        <v>696250.37121769646</v>
      </c>
      <c r="O18" s="75">
        <f t="shared" ref="O18:R18" si="14">O16-O17</f>
        <v>858576.17205016501</v>
      </c>
      <c r="P18" s="74">
        <f t="shared" si="14"/>
        <v>1158004.6120526604</v>
      </c>
      <c r="Q18" s="75">
        <f t="shared" si="14"/>
        <v>1436910.0228655431</v>
      </c>
      <c r="R18" s="74">
        <f t="shared" si="14"/>
        <v>1887475.0265571214</v>
      </c>
      <c r="S18" s="73"/>
    </row>
    <row r="19" spans="2:19" s="1" customFormat="1" hidden="1" x14ac:dyDescent="0.25">
      <c r="B19" s="1" t="s">
        <v>63</v>
      </c>
      <c r="D19" s="4">
        <v>0</v>
      </c>
      <c r="E19" s="4">
        <f t="shared" ref="E19:R19" si="15">E12*E63</f>
        <v>0</v>
      </c>
      <c r="F19" s="4">
        <f t="shared" si="15"/>
        <v>2357.5880250000009</v>
      </c>
      <c r="G19" s="4">
        <f t="shared" si="15"/>
        <v>0</v>
      </c>
      <c r="H19" s="4">
        <f t="shared" si="15"/>
        <v>2744.8006398140278</v>
      </c>
      <c r="I19" s="4">
        <f t="shared" si="15"/>
        <v>2961.6398903593363</v>
      </c>
      <c r="J19" s="4">
        <f t="shared" si="15"/>
        <v>3195.6094416977285</v>
      </c>
      <c r="K19" s="4">
        <f t="shared" si="15"/>
        <v>3448.0625875918413</v>
      </c>
      <c r="L19" s="4">
        <f t="shared" si="15"/>
        <v>7440.9190640231827</v>
      </c>
      <c r="M19" s="4">
        <f t="shared" si="15"/>
        <v>8028.7516700810229</v>
      </c>
      <c r="N19" s="4">
        <f t="shared" si="15"/>
        <v>8663.0230520174227</v>
      </c>
      <c r="O19" s="4">
        <f t="shared" si="15"/>
        <v>9347.4018731267861</v>
      </c>
      <c r="P19" s="4">
        <f t="shared" si="15"/>
        <v>20171.693242207635</v>
      </c>
      <c r="Q19" s="4">
        <f t="shared" si="15"/>
        <v>16323.942756256532</v>
      </c>
      <c r="R19" s="4">
        <f t="shared" si="15"/>
        <v>29355.890390001296</v>
      </c>
      <c r="S19" s="1" t="s">
        <v>73</v>
      </c>
    </row>
    <row r="20" spans="2:19" s="1" customFormat="1" hidden="1" x14ac:dyDescent="0.25">
      <c r="B20" s="1" t="s">
        <v>62</v>
      </c>
      <c r="D20" s="4">
        <v>0</v>
      </c>
      <c r="E20" s="3">
        <f>(D16*$E$4*$C$6)+((D16*0.75)-D17)</f>
        <v>29355.75</v>
      </c>
      <c r="F20" s="3">
        <f t="shared" ref="F20:R20" si="16">E16*$E$4*$C$6</f>
        <v>17836.679250000001</v>
      </c>
      <c r="G20" s="3">
        <f t="shared" si="16"/>
        <v>25661.035880999996</v>
      </c>
      <c r="H20" s="3">
        <f t="shared" si="16"/>
        <v>27688.257715599</v>
      </c>
      <c r="I20" s="3">
        <f t="shared" si="16"/>
        <v>37344.537593914152</v>
      </c>
      <c r="J20" s="3">
        <f t="shared" si="16"/>
        <v>48353.707276600035</v>
      </c>
      <c r="K20" s="3">
        <f t="shared" si="16"/>
        <v>60869.258510026688</v>
      </c>
      <c r="L20" s="3">
        <f t="shared" si="16"/>
        <v>75060.491351221484</v>
      </c>
      <c r="M20" s="3">
        <f t="shared" si="16"/>
        <v>101237.83770995997</v>
      </c>
      <c r="N20" s="3">
        <f t="shared" si="16"/>
        <v>131082.75226685614</v>
      </c>
      <c r="O20" s="3">
        <f t="shared" si="16"/>
        <v>165011.33797859409</v>
      </c>
      <c r="P20" s="3">
        <f t="shared" si="16"/>
        <v>203482.55277588911</v>
      </c>
      <c r="Q20" s="3">
        <f t="shared" si="16"/>
        <v>274447.09305648052</v>
      </c>
      <c r="R20" s="3">
        <f t="shared" si="16"/>
        <v>340547.6754191338</v>
      </c>
      <c r="S20" s="1" t="s">
        <v>73</v>
      </c>
    </row>
    <row r="21" spans="2:19" ht="18.75" x14ac:dyDescent="0.3">
      <c r="B21" s="70" t="s">
        <v>20</v>
      </c>
      <c r="C21" s="32"/>
      <c r="D21" s="74">
        <f>D10-D11-D14+D20</f>
        <v>15258</v>
      </c>
      <c r="E21" s="75">
        <f>E10-E11-E14+E19+E20</f>
        <v>48972.869999999995</v>
      </c>
      <c r="F21" s="74">
        <f t="shared" ref="F21:R21" si="17">F10-F11-F14+F19+F20</f>
        <v>33924.230750999996</v>
      </c>
      <c r="G21" s="75">
        <f t="shared" si="17"/>
        <v>66043.450278559991</v>
      </c>
      <c r="H21" s="74">
        <f t="shared" si="17"/>
        <v>58773.382998867295</v>
      </c>
      <c r="I21" s="75">
        <f t="shared" si="17"/>
        <v>61237.122825871666</v>
      </c>
      <c r="J21" s="74">
        <f t="shared" si="17"/>
        <v>75107.460472529856</v>
      </c>
      <c r="K21" s="75">
        <f t="shared" si="17"/>
        <v>102260.23442624872</v>
      </c>
      <c r="L21" s="74">
        <f t="shared" si="17"/>
        <v>90343.158197874844</v>
      </c>
      <c r="M21" s="75">
        <f t="shared" si="17"/>
        <v>110658.13041407251</v>
      </c>
      <c r="N21" s="74">
        <f t="shared" si="17"/>
        <v>157783.60283056856</v>
      </c>
      <c r="O21" s="75">
        <f t="shared" si="17"/>
        <v>241850.33179969602</v>
      </c>
      <c r="P21" s="74">
        <f t="shared" si="17"/>
        <v>227082.85731057334</v>
      </c>
      <c r="Q21" s="75">
        <f t="shared" si="17"/>
        <v>363657.12999066629</v>
      </c>
      <c r="R21" s="74">
        <f t="shared" si="17"/>
        <v>412322.8321301972</v>
      </c>
      <c r="S21" s="73"/>
    </row>
    <row r="22" spans="2:19" ht="18.75" x14ac:dyDescent="0.3">
      <c r="B22" s="70"/>
      <c r="C22" s="32"/>
      <c r="D22" s="74"/>
      <c r="E22" s="75"/>
      <c r="F22" s="74"/>
      <c r="G22" s="75"/>
      <c r="H22" s="74"/>
      <c r="I22" s="75"/>
      <c r="J22" s="74"/>
      <c r="K22" s="75"/>
      <c r="L22" s="74"/>
      <c r="M22" s="75"/>
      <c r="N22" s="74"/>
      <c r="O22" s="75"/>
      <c r="P22" s="74"/>
      <c r="Q22" s="75"/>
      <c r="R22" s="74"/>
      <c r="S22" s="73"/>
    </row>
    <row r="23" spans="2:19" s="1" customFormat="1" hidden="1" x14ac:dyDescent="0.25">
      <c r="B23" s="1" t="s">
        <v>45</v>
      </c>
      <c r="D23" s="3">
        <f>D18+D21</f>
        <v>97833</v>
      </c>
      <c r="E23" s="3">
        <f>E18+E21</f>
        <v>124233.12</v>
      </c>
      <c r="F23" s="3">
        <f t="shared" ref="F23:N23" si="18">F18+F21</f>
        <v>142198.643751</v>
      </c>
      <c r="G23" s="3">
        <f t="shared" si="18"/>
        <v>182871.54190556001</v>
      </c>
      <c r="H23" s="3">
        <f t="shared" si="18"/>
        <v>216345.27158078353</v>
      </c>
      <c r="I23" s="3">
        <f t="shared" si="18"/>
        <v>265261.20416173688</v>
      </c>
      <c r="J23" s="3">
        <f t="shared" si="18"/>
        <v>331939.77486082807</v>
      </c>
      <c r="K23" s="3">
        <f t="shared" si="18"/>
        <v>418971.16839764733</v>
      </c>
      <c r="L23" s="3">
        <f t="shared" si="18"/>
        <v>517507.03039179876</v>
      </c>
      <c r="M23" s="3">
        <f t="shared" si="18"/>
        <v>663749.91213076527</v>
      </c>
      <c r="N23" s="3">
        <f t="shared" si="18"/>
        <v>854033.97404826502</v>
      </c>
      <c r="O23" s="3">
        <f t="shared" ref="O23:R23" si="19">O18+O21</f>
        <v>1100426.503849861</v>
      </c>
      <c r="P23" s="3">
        <f t="shared" si="19"/>
        <v>1385087.4693632338</v>
      </c>
      <c r="Q23" s="3">
        <f t="shared" si="19"/>
        <v>1800567.1528562093</v>
      </c>
      <c r="R23" s="3">
        <f t="shared" si="19"/>
        <v>2299797.8586873189</v>
      </c>
      <c r="S23" s="1" t="s">
        <v>73</v>
      </c>
    </row>
    <row r="24" spans="2:19" ht="18.75" x14ac:dyDescent="0.3">
      <c r="B24" s="70" t="s">
        <v>21</v>
      </c>
      <c r="C24" s="32"/>
      <c r="D24" s="74">
        <f t="shared" ref="D24:R24" si="20">$C$3</f>
        <v>120000</v>
      </c>
      <c r="E24" s="75">
        <f t="shared" si="20"/>
        <v>120000</v>
      </c>
      <c r="F24" s="74">
        <f t="shared" si="20"/>
        <v>120000</v>
      </c>
      <c r="G24" s="75">
        <f t="shared" si="20"/>
        <v>120000</v>
      </c>
      <c r="H24" s="74">
        <f t="shared" si="20"/>
        <v>120000</v>
      </c>
      <c r="I24" s="75">
        <f t="shared" si="20"/>
        <v>120000</v>
      </c>
      <c r="J24" s="74">
        <f t="shared" si="20"/>
        <v>120000</v>
      </c>
      <c r="K24" s="75">
        <f t="shared" si="20"/>
        <v>120000</v>
      </c>
      <c r="L24" s="74">
        <f t="shared" si="20"/>
        <v>120000</v>
      </c>
      <c r="M24" s="75">
        <f t="shared" si="20"/>
        <v>120000</v>
      </c>
      <c r="N24" s="74">
        <f t="shared" si="20"/>
        <v>120000</v>
      </c>
      <c r="O24" s="75">
        <f t="shared" si="20"/>
        <v>120000</v>
      </c>
      <c r="P24" s="74">
        <f t="shared" si="20"/>
        <v>120000</v>
      </c>
      <c r="Q24" s="75">
        <f t="shared" si="20"/>
        <v>120000</v>
      </c>
      <c r="R24" s="74">
        <f t="shared" si="20"/>
        <v>120000</v>
      </c>
      <c r="S24" s="73"/>
    </row>
    <row r="25" spans="2:19" hidden="1" x14ac:dyDescent="0.25">
      <c r="B25" s="29"/>
      <c r="C25" s="29"/>
      <c r="D25" s="30"/>
      <c r="E25" s="29"/>
      <c r="F25" s="30"/>
      <c r="G25" s="29"/>
      <c r="H25" s="30"/>
      <c r="I25" s="29"/>
      <c r="J25" s="30"/>
      <c r="K25" s="29"/>
      <c r="L25" s="30"/>
      <c r="M25" s="29"/>
      <c r="N25" s="30"/>
      <c r="O25" s="29"/>
      <c r="P25" s="30"/>
      <c r="Q25" s="29"/>
      <c r="R25" s="30"/>
      <c r="S25" s="31" t="s">
        <v>73</v>
      </c>
    </row>
    <row r="26" spans="2:19" s="1" customFormat="1" hidden="1" x14ac:dyDescent="0.25">
      <c r="B26" s="1" t="s">
        <v>22</v>
      </c>
      <c r="D26" s="5">
        <f>(D23/D24)-1</f>
        <v>-0.18472500000000003</v>
      </c>
      <c r="E26" s="5">
        <f t="shared" ref="E26:N26" si="21">(E23/E24)-1</f>
        <v>3.5275999999999863E-2</v>
      </c>
      <c r="F26" s="5">
        <f t="shared" si="21"/>
        <v>0.18498869792499995</v>
      </c>
      <c r="G26" s="5">
        <f t="shared" si="21"/>
        <v>0.52392951587966663</v>
      </c>
      <c r="H26" s="5">
        <f t="shared" si="21"/>
        <v>0.80287726317319619</v>
      </c>
      <c r="I26" s="5">
        <f t="shared" si="21"/>
        <v>1.2105100346811408</v>
      </c>
      <c r="J26" s="5">
        <f t="shared" si="21"/>
        <v>1.7661647905069007</v>
      </c>
      <c r="K26" s="5">
        <f t="shared" si="21"/>
        <v>2.4914264033137279</v>
      </c>
      <c r="L26" s="5">
        <f t="shared" si="21"/>
        <v>3.3125585865983229</v>
      </c>
      <c r="M26" s="5">
        <f t="shared" si="21"/>
        <v>4.5312492677563769</v>
      </c>
      <c r="N26" s="5">
        <f t="shared" si="21"/>
        <v>6.1169497837355422</v>
      </c>
      <c r="O26" s="5">
        <f t="shared" ref="O26:R26" si="22">(O23/O24)-1</f>
        <v>8.1702208654155086</v>
      </c>
      <c r="P26" s="5">
        <f t="shared" si="22"/>
        <v>10.542395578026948</v>
      </c>
      <c r="Q26" s="5">
        <f t="shared" si="22"/>
        <v>14.004726273801744</v>
      </c>
      <c r="R26" s="5">
        <f t="shared" si="22"/>
        <v>18.164982155727657</v>
      </c>
      <c r="S26" s="1" t="s">
        <v>73</v>
      </c>
    </row>
    <row r="27" spans="2:19" s="1" customFormat="1" hidden="1" x14ac:dyDescent="0.25">
      <c r="B27" s="1" t="s">
        <v>74</v>
      </c>
      <c r="D27" s="5">
        <v>0</v>
      </c>
      <c r="E27" s="5">
        <f>(1+$E$4)-1</f>
        <v>7.8999999999999959E-2</v>
      </c>
      <c r="F27" s="5">
        <f t="shared" ref="F27:R27" si="23">(1+E27)*(1+$E$4)-1</f>
        <v>0.16424099999999986</v>
      </c>
      <c r="G27" s="5">
        <f t="shared" si="23"/>
        <v>0.2562160389999999</v>
      </c>
      <c r="H27" s="5">
        <f t="shared" si="23"/>
        <v>0.3554571060809999</v>
      </c>
      <c r="I27" s="5">
        <f t="shared" si="23"/>
        <v>0.46253821746139878</v>
      </c>
      <c r="J27" s="5">
        <f t="shared" si="23"/>
        <v>0.5780787366408493</v>
      </c>
      <c r="K27" s="5">
        <f t="shared" si="23"/>
        <v>0.70274695683547628</v>
      </c>
      <c r="L27" s="5">
        <f t="shared" si="23"/>
        <v>0.83726396642547884</v>
      </c>
      <c r="M27" s="5">
        <f t="shared" si="23"/>
        <v>0.98240781977309166</v>
      </c>
      <c r="N27" s="5">
        <f t="shared" si="23"/>
        <v>1.1390180375351657</v>
      </c>
      <c r="O27" s="5">
        <f t="shared" si="23"/>
        <v>1.3080004625004436</v>
      </c>
      <c r="P27" s="5">
        <f t="shared" si="23"/>
        <v>1.4903324990379785</v>
      </c>
      <c r="Q27" s="5">
        <f t="shared" si="23"/>
        <v>1.6870687664619788</v>
      </c>
      <c r="R27" s="5">
        <f t="shared" si="23"/>
        <v>1.8993471990124751</v>
      </c>
      <c r="S27" s="1" t="s">
        <v>73</v>
      </c>
    </row>
    <row r="28" spans="2:19" ht="18.75" x14ac:dyDescent="0.3">
      <c r="B28" s="32"/>
      <c r="C28" s="32"/>
      <c r="D28" s="74"/>
      <c r="E28" s="75"/>
      <c r="F28" s="74"/>
      <c r="G28" s="75"/>
      <c r="H28" s="74"/>
      <c r="I28" s="75"/>
      <c r="J28" s="74"/>
      <c r="K28" s="75"/>
      <c r="L28" s="74"/>
      <c r="M28" s="75"/>
      <c r="N28" s="74"/>
      <c r="O28" s="75"/>
      <c r="P28" s="74"/>
      <c r="Q28" s="75"/>
      <c r="R28" s="74"/>
      <c r="S28" s="73"/>
    </row>
    <row r="29" spans="2:19" ht="34.5" customHeight="1" x14ac:dyDescent="0.3">
      <c r="B29" s="85" t="s">
        <v>77</v>
      </c>
      <c r="C29" s="85"/>
      <c r="D29" s="76">
        <f>D16*($E$4*$C$6)</f>
        <v>16530.75</v>
      </c>
      <c r="E29" s="76">
        <f t="shared" ref="E29:R29" si="24">E16*($E$4*$C$6)</f>
        <v>17836.679249999997</v>
      </c>
      <c r="F29" s="76">
        <f t="shared" si="24"/>
        <v>25661.035881</v>
      </c>
      <c r="G29" s="76">
        <f t="shared" si="24"/>
        <v>27688.257715599</v>
      </c>
      <c r="H29" s="76">
        <f t="shared" si="24"/>
        <v>37344.537593914152</v>
      </c>
      <c r="I29" s="76">
        <f t="shared" si="24"/>
        <v>48353.707276600035</v>
      </c>
      <c r="J29" s="76">
        <f t="shared" si="24"/>
        <v>60869.258510026673</v>
      </c>
      <c r="K29" s="76">
        <f t="shared" si="24"/>
        <v>75060.49135122147</v>
      </c>
      <c r="L29" s="76">
        <f t="shared" si="24"/>
        <v>101237.83770995996</v>
      </c>
      <c r="M29" s="76">
        <f t="shared" si="24"/>
        <v>131082.75226685614</v>
      </c>
      <c r="N29" s="76">
        <f t="shared" si="24"/>
        <v>165011.33797859409</v>
      </c>
      <c r="O29" s="76">
        <f t="shared" si="24"/>
        <v>203482.55277588911</v>
      </c>
      <c r="P29" s="76">
        <f t="shared" si="24"/>
        <v>274447.09305648046</v>
      </c>
      <c r="Q29" s="76">
        <f t="shared" si="24"/>
        <v>340547.67541913374</v>
      </c>
      <c r="R29" s="76">
        <f t="shared" si="24"/>
        <v>447331.58129403775</v>
      </c>
      <c r="S29" s="33"/>
    </row>
    <row r="30" spans="2:19" ht="25.5" customHeight="1" x14ac:dyDescent="0.3">
      <c r="B30" s="83" t="s">
        <v>78</v>
      </c>
      <c r="C30" s="83"/>
      <c r="D30" s="76">
        <f t="shared" ref="D30:J30" si="25">D16*(7.9%*$C$6)</f>
        <v>16530.75</v>
      </c>
      <c r="E30" s="76">
        <f t="shared" si="25"/>
        <v>17836.679249999997</v>
      </c>
      <c r="F30" s="76">
        <f t="shared" si="25"/>
        <v>25661.035881</v>
      </c>
      <c r="G30" s="76">
        <f t="shared" si="25"/>
        <v>27688.257715599</v>
      </c>
      <c r="H30" s="76">
        <f t="shared" si="25"/>
        <v>37344.537593914152</v>
      </c>
      <c r="I30" s="76">
        <f t="shared" si="25"/>
        <v>48353.707276600035</v>
      </c>
      <c r="J30" s="76">
        <f t="shared" si="25"/>
        <v>60869.258510026673</v>
      </c>
      <c r="K30" s="76">
        <f t="shared" ref="K30:R30" si="26">K16*(7.9%*$C$6)</f>
        <v>75060.49135122147</v>
      </c>
      <c r="L30" s="76">
        <f t="shared" si="26"/>
        <v>101237.83770995996</v>
      </c>
      <c r="M30" s="76">
        <f t="shared" si="26"/>
        <v>131082.75226685614</v>
      </c>
      <c r="N30" s="76">
        <f t="shared" si="26"/>
        <v>165011.33797859409</v>
      </c>
      <c r="O30" s="76">
        <f t="shared" si="26"/>
        <v>203482.55277588911</v>
      </c>
      <c r="P30" s="76">
        <f t="shared" si="26"/>
        <v>274447.09305648046</v>
      </c>
      <c r="Q30" s="76">
        <f t="shared" si="26"/>
        <v>340547.67541913374</v>
      </c>
      <c r="R30" s="76">
        <f t="shared" si="26"/>
        <v>447331.58129403775</v>
      </c>
      <c r="S30" s="33"/>
    </row>
    <row r="31" spans="2:19" ht="18.75" x14ac:dyDescent="0.3">
      <c r="B31" s="72" t="s">
        <v>23</v>
      </c>
      <c r="C31" s="60"/>
      <c r="D31" s="77">
        <f t="shared" ref="D31:R31" si="27">D13</f>
        <v>3</v>
      </c>
      <c r="E31" s="77">
        <f t="shared" si="27"/>
        <v>3</v>
      </c>
      <c r="F31" s="77">
        <f t="shared" si="27"/>
        <v>4</v>
      </c>
      <c r="G31" s="77">
        <f t="shared" si="27"/>
        <v>4</v>
      </c>
      <c r="H31" s="77">
        <f t="shared" si="27"/>
        <v>5</v>
      </c>
      <c r="I31" s="77">
        <f t="shared" si="27"/>
        <v>6</v>
      </c>
      <c r="J31" s="77">
        <f t="shared" si="27"/>
        <v>7</v>
      </c>
      <c r="K31" s="77">
        <f t="shared" si="27"/>
        <v>8</v>
      </c>
      <c r="L31" s="77">
        <f t="shared" si="27"/>
        <v>10</v>
      </c>
      <c r="M31" s="77">
        <f t="shared" si="27"/>
        <v>12</v>
      </c>
      <c r="N31" s="77">
        <f t="shared" si="27"/>
        <v>14</v>
      </c>
      <c r="O31" s="77">
        <f t="shared" si="27"/>
        <v>16</v>
      </c>
      <c r="P31" s="77">
        <f t="shared" si="27"/>
        <v>20</v>
      </c>
      <c r="Q31" s="77">
        <f t="shared" si="27"/>
        <v>23</v>
      </c>
      <c r="R31" s="77">
        <f t="shared" si="27"/>
        <v>28</v>
      </c>
      <c r="S31" s="33"/>
    </row>
    <row r="32" spans="2:19" ht="18.75" x14ac:dyDescent="0.3">
      <c r="B32" s="72" t="s">
        <v>54</v>
      </c>
      <c r="C32" s="60"/>
      <c r="D32" s="76">
        <f>D73</f>
        <v>4359.1199999999972</v>
      </c>
      <c r="E32" s="76">
        <f t="shared" ref="E32:R32" si="28">E73</f>
        <v>4323.4234799999977</v>
      </c>
      <c r="F32" s="76">
        <f t="shared" si="28"/>
        <v>6458.1836465599981</v>
      </c>
      <c r="G32" s="76">
        <f t="shared" si="28"/>
        <v>7213.7451066382391</v>
      </c>
      <c r="H32" s="76">
        <f t="shared" si="28"/>
        <v>10045.446088278321</v>
      </c>
      <c r="I32" s="76">
        <f t="shared" si="28"/>
        <v>13397.305111467973</v>
      </c>
      <c r="J32" s="76">
        <f t="shared" si="28"/>
        <v>17334.178839985103</v>
      </c>
      <c r="K32" s="76">
        <f t="shared" si="28"/>
        <v>21927.839651246952</v>
      </c>
      <c r="L32" s="76">
        <f t="shared" si="28"/>
        <v>30286.286798607965</v>
      </c>
      <c r="M32" s="76">
        <f t="shared" si="28"/>
        <v>40093.619900107587</v>
      </c>
      <c r="N32" s="76">
        <f t="shared" si="28"/>
        <v>51527.372981098189</v>
      </c>
      <c r="O32" s="76">
        <f t="shared" si="28"/>
        <v>64783.895859835946</v>
      </c>
      <c r="P32" s="76">
        <f t="shared" si="28"/>
        <v>88978.007589059445</v>
      </c>
      <c r="Q32" s="76">
        <f t="shared" si="28"/>
        <v>112304.42308986574</v>
      </c>
      <c r="R32" s="76">
        <f t="shared" si="28"/>
        <v>149896.68127077405</v>
      </c>
      <c r="S32" s="33"/>
    </row>
    <row r="33" spans="2:19" ht="18.75" x14ac:dyDescent="0.3">
      <c r="B33" s="72" t="s">
        <v>65</v>
      </c>
      <c r="C33" s="60"/>
      <c r="D33" s="76">
        <f t="shared" ref="D33:R33" si="29">D29+D32</f>
        <v>20889.869999999995</v>
      </c>
      <c r="E33" s="76">
        <f t="shared" si="29"/>
        <v>22160.102729999995</v>
      </c>
      <c r="F33" s="76">
        <f t="shared" si="29"/>
        <v>32119.219527559999</v>
      </c>
      <c r="G33" s="76">
        <f t="shared" si="29"/>
        <v>34902.002822237242</v>
      </c>
      <c r="H33" s="76">
        <f t="shared" si="29"/>
        <v>47389.983682192469</v>
      </c>
      <c r="I33" s="76">
        <f t="shared" si="29"/>
        <v>61751.012388068004</v>
      </c>
      <c r="J33" s="76">
        <f t="shared" si="29"/>
        <v>78203.43735001178</v>
      </c>
      <c r="K33" s="76">
        <f t="shared" si="29"/>
        <v>96988.331002468418</v>
      </c>
      <c r="L33" s="76">
        <f t="shared" si="29"/>
        <v>131524.12450856791</v>
      </c>
      <c r="M33" s="76">
        <f t="shared" si="29"/>
        <v>171176.37216696373</v>
      </c>
      <c r="N33" s="76">
        <f t="shared" si="29"/>
        <v>216538.71095969228</v>
      </c>
      <c r="O33" s="76">
        <f t="shared" si="29"/>
        <v>268266.44863572507</v>
      </c>
      <c r="P33" s="76">
        <f t="shared" si="29"/>
        <v>363425.10064553993</v>
      </c>
      <c r="Q33" s="76">
        <f t="shared" si="29"/>
        <v>452852.09850899945</v>
      </c>
      <c r="R33" s="76">
        <f t="shared" si="29"/>
        <v>597228.26256481186</v>
      </c>
      <c r="S33" s="33"/>
    </row>
    <row r="34" spans="2:19" s="1" customFormat="1" hidden="1" x14ac:dyDescent="0.25">
      <c r="B34" s="6"/>
      <c r="C34" s="6"/>
      <c r="D34" s="1" t="s">
        <v>4</v>
      </c>
      <c r="E34" s="1" t="s">
        <v>5</v>
      </c>
      <c r="F34" s="1" t="s">
        <v>6</v>
      </c>
      <c r="G34" s="1" t="s">
        <v>7</v>
      </c>
      <c r="H34" s="1" t="s">
        <v>8</v>
      </c>
      <c r="I34" s="1" t="s">
        <v>9</v>
      </c>
      <c r="J34" s="1" t="s">
        <v>10</v>
      </c>
      <c r="K34" s="1" t="s">
        <v>11</v>
      </c>
      <c r="L34" s="1" t="s">
        <v>12</v>
      </c>
      <c r="M34" s="1" t="s">
        <v>13</v>
      </c>
      <c r="N34" s="1" t="s">
        <v>14</v>
      </c>
      <c r="O34" s="1" t="s">
        <v>58</v>
      </c>
      <c r="P34" s="1" t="s">
        <v>59</v>
      </c>
      <c r="Q34" s="1" t="s">
        <v>60</v>
      </c>
      <c r="R34" s="1" t="s">
        <v>61</v>
      </c>
      <c r="S34" s="1" t="s">
        <v>73</v>
      </c>
    </row>
    <row r="35" spans="2:19" s="1" customFormat="1" hidden="1" x14ac:dyDescent="0.25">
      <c r="B35" s="6" t="s">
        <v>54</v>
      </c>
      <c r="C35" s="6"/>
      <c r="D35" s="7">
        <f>D73</f>
        <v>4359.1199999999972</v>
      </c>
      <c r="E35" s="7">
        <f t="shared" ref="E35:R35" si="30">E73</f>
        <v>4323.4234799999977</v>
      </c>
      <c r="F35" s="7">
        <f t="shared" si="30"/>
        <v>6458.1836465599981</v>
      </c>
      <c r="G35" s="7">
        <f t="shared" si="30"/>
        <v>7213.7451066382391</v>
      </c>
      <c r="H35" s="7">
        <f t="shared" si="30"/>
        <v>10045.446088278321</v>
      </c>
      <c r="I35" s="7">
        <f t="shared" si="30"/>
        <v>13397.305111467973</v>
      </c>
      <c r="J35" s="7">
        <f t="shared" si="30"/>
        <v>17334.178839985103</v>
      </c>
      <c r="K35" s="7">
        <f t="shared" si="30"/>
        <v>21927.839651246952</v>
      </c>
      <c r="L35" s="7">
        <f t="shared" si="30"/>
        <v>30286.286798607965</v>
      </c>
      <c r="M35" s="7">
        <f t="shared" si="30"/>
        <v>40093.619900107587</v>
      </c>
      <c r="N35" s="7">
        <f t="shared" si="30"/>
        <v>51527.372981098189</v>
      </c>
      <c r="O35" s="7">
        <f t="shared" si="30"/>
        <v>64783.895859835946</v>
      </c>
      <c r="P35" s="7">
        <f t="shared" si="30"/>
        <v>88978.007589059445</v>
      </c>
      <c r="Q35" s="7">
        <f t="shared" si="30"/>
        <v>112304.42308986574</v>
      </c>
      <c r="R35" s="7">
        <f t="shared" si="30"/>
        <v>149896.68127077405</v>
      </c>
      <c r="S35" s="1" t="s">
        <v>73</v>
      </c>
    </row>
    <row r="36" spans="2:19" s="1" customFormat="1" hidden="1" x14ac:dyDescent="0.25">
      <c r="B36" s="6" t="s">
        <v>64</v>
      </c>
      <c r="C36" s="6"/>
      <c r="D36" s="8">
        <v>0</v>
      </c>
      <c r="E36" s="9">
        <f t="shared" ref="E36:R36" si="31">D16*$E$4</f>
        <v>22041</v>
      </c>
      <c r="F36" s="9">
        <f t="shared" si="31"/>
        <v>23782.239000000001</v>
      </c>
      <c r="G36" s="9">
        <f t="shared" si="31"/>
        <v>34214.714507999997</v>
      </c>
      <c r="H36" s="9">
        <f t="shared" si="31"/>
        <v>36917.676954132003</v>
      </c>
      <c r="I36" s="9">
        <f t="shared" si="31"/>
        <v>49792.716791885534</v>
      </c>
      <c r="J36" s="9">
        <f t="shared" si="31"/>
        <v>64471.609702133384</v>
      </c>
      <c r="K36" s="9">
        <f t="shared" si="31"/>
        <v>81159.011346702246</v>
      </c>
      <c r="L36" s="9">
        <f t="shared" si="31"/>
        <v>100080.65513496197</v>
      </c>
      <c r="M36" s="9">
        <f t="shared" si="31"/>
        <v>134983.78361327996</v>
      </c>
      <c r="N36" s="9">
        <f t="shared" si="31"/>
        <v>174777.00302247488</v>
      </c>
      <c r="O36" s="9">
        <f t="shared" si="31"/>
        <v>220015.11730479213</v>
      </c>
      <c r="P36" s="9">
        <f t="shared" si="31"/>
        <v>271310.07036785217</v>
      </c>
      <c r="Q36" s="9">
        <f t="shared" si="31"/>
        <v>365929.45740864065</v>
      </c>
      <c r="R36" s="9">
        <f t="shared" si="31"/>
        <v>454063.56722551171</v>
      </c>
      <c r="S36" s="1" t="s">
        <v>73</v>
      </c>
    </row>
    <row r="37" spans="2:19" s="1" customFormat="1" hidden="1" x14ac:dyDescent="0.25">
      <c r="B37" s="6" t="s">
        <v>55</v>
      </c>
      <c r="D37" s="10">
        <f>SUM(D35:D36)</f>
        <v>4359.1199999999972</v>
      </c>
      <c r="E37" s="10">
        <f t="shared" ref="E37:R37" si="32">SUM(E35:E36)</f>
        <v>26364.423479999998</v>
      </c>
      <c r="F37" s="10">
        <f t="shared" si="32"/>
        <v>30240.42264656</v>
      </c>
      <c r="G37" s="10">
        <f t="shared" si="32"/>
        <v>41428.459614638239</v>
      </c>
      <c r="H37" s="10">
        <f t="shared" si="32"/>
        <v>46963.123042410327</v>
      </c>
      <c r="I37" s="10">
        <f t="shared" si="32"/>
        <v>63190.02190335351</v>
      </c>
      <c r="J37" s="10">
        <f t="shared" si="32"/>
        <v>81805.788542118491</v>
      </c>
      <c r="K37" s="10">
        <f t="shared" si="32"/>
        <v>103086.85099794919</v>
      </c>
      <c r="L37" s="10">
        <f t="shared" si="32"/>
        <v>130366.94193356993</v>
      </c>
      <c r="M37" s="10">
        <f t="shared" si="32"/>
        <v>175077.40351338754</v>
      </c>
      <c r="N37" s="10">
        <f t="shared" si="32"/>
        <v>226304.37600357307</v>
      </c>
      <c r="O37" s="10">
        <f t="shared" si="32"/>
        <v>284799.01316462806</v>
      </c>
      <c r="P37" s="10">
        <f t="shared" si="32"/>
        <v>360288.07795691164</v>
      </c>
      <c r="Q37" s="10">
        <f t="shared" si="32"/>
        <v>478233.88049850636</v>
      </c>
      <c r="R37" s="10">
        <f t="shared" si="32"/>
        <v>603960.24849628576</v>
      </c>
      <c r="S37" s="1" t="s">
        <v>73</v>
      </c>
    </row>
    <row r="38" spans="2:19" s="1" customFormat="1" hidden="1" x14ac:dyDescent="0.25">
      <c r="B38" s="6" t="s">
        <v>56</v>
      </c>
      <c r="D38" s="11">
        <f t="shared" ref="D38:R38" si="33">D37/$C$3</f>
        <v>3.6325999999999976E-2</v>
      </c>
      <c r="E38" s="11">
        <f t="shared" si="33"/>
        <v>0.21970352899999998</v>
      </c>
      <c r="F38" s="11">
        <f t="shared" si="33"/>
        <v>0.2520035220546667</v>
      </c>
      <c r="G38" s="11">
        <f t="shared" si="33"/>
        <v>0.34523716345531869</v>
      </c>
      <c r="H38" s="11">
        <f t="shared" si="33"/>
        <v>0.3913593586867527</v>
      </c>
      <c r="I38" s="11">
        <f t="shared" si="33"/>
        <v>0.52658351586127927</v>
      </c>
      <c r="J38" s="11">
        <f t="shared" si="33"/>
        <v>0.68171490451765404</v>
      </c>
      <c r="K38" s="11">
        <f t="shared" si="33"/>
        <v>0.85905709164957667</v>
      </c>
      <c r="L38" s="11">
        <f t="shared" si="33"/>
        <v>1.0863911827797494</v>
      </c>
      <c r="M38" s="11">
        <f t="shared" si="33"/>
        <v>1.4589783626115629</v>
      </c>
      <c r="N38" s="11">
        <f t="shared" si="33"/>
        <v>1.8858698000297756</v>
      </c>
      <c r="O38" s="11">
        <f t="shared" si="33"/>
        <v>2.3733251097052337</v>
      </c>
      <c r="P38" s="11">
        <f t="shared" si="33"/>
        <v>3.0024006496409306</v>
      </c>
      <c r="Q38" s="11">
        <f t="shared" si="33"/>
        <v>3.9852823374875532</v>
      </c>
      <c r="R38" s="11">
        <f t="shared" si="33"/>
        <v>5.0330020708023815</v>
      </c>
      <c r="S38" s="1" t="s">
        <v>73</v>
      </c>
    </row>
    <row r="39" spans="2:19" s="1" customFormat="1" hidden="1" x14ac:dyDescent="0.25">
      <c r="B39" s="6" t="s">
        <v>71</v>
      </c>
      <c r="D39" s="12">
        <f t="shared" ref="D39:R39" si="34">D18+E10</f>
        <v>102192.12</v>
      </c>
      <c r="E39" s="12">
        <f t="shared" si="34"/>
        <v>128556.54347999999</v>
      </c>
      <c r="F39" s="12">
        <f t="shared" si="34"/>
        <v>148656.82739756</v>
      </c>
      <c r="G39" s="12">
        <f t="shared" si="34"/>
        <v>190085.28701219824</v>
      </c>
      <c r="H39" s="12">
        <f t="shared" si="34"/>
        <v>226390.71766906185</v>
      </c>
      <c r="I39" s="12">
        <f t="shared" si="34"/>
        <v>278658.50927320484</v>
      </c>
      <c r="J39" s="12">
        <f t="shared" si="34"/>
        <v>349273.95370081317</v>
      </c>
      <c r="K39" s="12">
        <f t="shared" si="34"/>
        <v>440899.00804889429</v>
      </c>
      <c r="L39" s="12">
        <f t="shared" si="34"/>
        <v>552793.31719040673</v>
      </c>
      <c r="M39" s="12">
        <f t="shared" si="34"/>
        <v>703843.53203087277</v>
      </c>
      <c r="N39" s="12">
        <f t="shared" si="34"/>
        <v>905561.34702936327</v>
      </c>
      <c r="O39" s="12">
        <f t="shared" si="34"/>
        <v>1165210.3997096969</v>
      </c>
      <c r="P39" s="12">
        <f t="shared" si="34"/>
        <v>1474065.4769522932</v>
      </c>
      <c r="Q39" s="12">
        <f t="shared" si="34"/>
        <v>1912871.5759460751</v>
      </c>
      <c r="R39" s="12">
        <f t="shared" si="34"/>
        <v>2449694.5399580924</v>
      </c>
      <c r="S39" s="1" t="s">
        <v>73</v>
      </c>
    </row>
    <row r="40" spans="2:19" s="1" customFormat="1" hidden="1" x14ac:dyDescent="0.25">
      <c r="B40" s="6" t="s">
        <v>57</v>
      </c>
      <c r="D40" s="13">
        <f>(D39/$C$3)-100%</f>
        <v>-0.14839900000000006</v>
      </c>
      <c r="E40" s="13">
        <f t="shared" ref="E40:R40" si="35">(E39/$C$3)-100%</f>
        <v>7.1304528999999839E-2</v>
      </c>
      <c r="F40" s="13">
        <f t="shared" si="35"/>
        <v>0.23880689497966667</v>
      </c>
      <c r="G40" s="13">
        <f t="shared" si="35"/>
        <v>0.5840440584349853</v>
      </c>
      <c r="H40" s="13">
        <f t="shared" si="35"/>
        <v>0.88658931390884876</v>
      </c>
      <c r="I40" s="13">
        <f t="shared" si="35"/>
        <v>1.3221542439433738</v>
      </c>
      <c r="J40" s="13">
        <f t="shared" si="35"/>
        <v>1.9106162808401099</v>
      </c>
      <c r="K40" s="13">
        <f t="shared" si="35"/>
        <v>2.6741584004074523</v>
      </c>
      <c r="L40" s="13">
        <f t="shared" si="35"/>
        <v>3.6066109765867225</v>
      </c>
      <c r="M40" s="13">
        <f t="shared" si="35"/>
        <v>4.8653627669239397</v>
      </c>
      <c r="N40" s="13">
        <f t="shared" si="35"/>
        <v>6.5463445585780269</v>
      </c>
      <c r="O40" s="13">
        <f t="shared" si="35"/>
        <v>8.7100866642474735</v>
      </c>
      <c r="P40" s="13">
        <f t="shared" si="35"/>
        <v>11.283878974602443</v>
      </c>
      <c r="Q40" s="13">
        <f t="shared" si="35"/>
        <v>14.940596466217293</v>
      </c>
      <c r="R40" s="13">
        <f t="shared" si="35"/>
        <v>19.414121166317436</v>
      </c>
      <c r="S40" s="1" t="s">
        <v>73</v>
      </c>
    </row>
    <row r="41" spans="2:19" s="1" customFormat="1" hidden="1" x14ac:dyDescent="0.25">
      <c r="B41" s="14" t="s">
        <v>24</v>
      </c>
      <c r="S41" s="1" t="s">
        <v>73</v>
      </c>
    </row>
    <row r="42" spans="2:19" s="1" customFormat="1" hidden="1" x14ac:dyDescent="0.25">
      <c r="D42" s="1" t="s">
        <v>4</v>
      </c>
      <c r="E42" s="1" t="s">
        <v>25</v>
      </c>
      <c r="F42" s="1" t="s">
        <v>6</v>
      </c>
      <c r="G42" s="1" t="s">
        <v>7</v>
      </c>
      <c r="H42" s="1" t="s">
        <v>8</v>
      </c>
      <c r="I42" s="1" t="s">
        <v>9</v>
      </c>
      <c r="J42" s="1" t="s">
        <v>10</v>
      </c>
      <c r="K42" s="1" t="s">
        <v>11</v>
      </c>
      <c r="L42" s="1" t="s">
        <v>12</v>
      </c>
      <c r="M42" s="1" t="s">
        <v>13</v>
      </c>
      <c r="N42" s="1" t="s">
        <v>14</v>
      </c>
      <c r="O42" s="1" t="s">
        <v>58</v>
      </c>
      <c r="P42" s="1" t="s">
        <v>59</v>
      </c>
      <c r="Q42" s="1" t="s">
        <v>60</v>
      </c>
      <c r="R42" s="1" t="s">
        <v>61</v>
      </c>
      <c r="S42" s="1" t="s">
        <v>73</v>
      </c>
    </row>
    <row r="43" spans="2:19" s="1" customFormat="1" hidden="1" x14ac:dyDescent="0.25">
      <c r="B43" s="1" t="s">
        <v>26</v>
      </c>
      <c r="D43" s="3">
        <v>90000</v>
      </c>
      <c r="E43" s="15">
        <f t="shared" ref="E43:R43" si="36">D43*(1+$E$4)</f>
        <v>97110</v>
      </c>
      <c r="F43" s="15">
        <f t="shared" si="36"/>
        <v>104781.69</v>
      </c>
      <c r="G43" s="15">
        <f t="shared" si="36"/>
        <v>113059.44351</v>
      </c>
      <c r="H43" s="15">
        <f t="shared" si="36"/>
        <v>121991.13954728999</v>
      </c>
      <c r="I43" s="15">
        <f t="shared" si="36"/>
        <v>131628.4395715259</v>
      </c>
      <c r="J43" s="15">
        <f t="shared" si="36"/>
        <v>142027.08629767643</v>
      </c>
      <c r="K43" s="15">
        <f t="shared" si="36"/>
        <v>153247.22611519287</v>
      </c>
      <c r="L43" s="15">
        <f t="shared" si="36"/>
        <v>165353.7569782931</v>
      </c>
      <c r="M43" s="15">
        <f t="shared" si="36"/>
        <v>178416.70377957824</v>
      </c>
      <c r="N43" s="15">
        <f t="shared" si="36"/>
        <v>192511.62337816492</v>
      </c>
      <c r="O43" s="15">
        <f t="shared" si="36"/>
        <v>207720.04162503994</v>
      </c>
      <c r="P43" s="15">
        <f t="shared" si="36"/>
        <v>224129.9249134181</v>
      </c>
      <c r="Q43" s="15">
        <f t="shared" si="36"/>
        <v>241836.18898157813</v>
      </c>
      <c r="R43" s="15">
        <f t="shared" si="36"/>
        <v>260941.2479111228</v>
      </c>
      <c r="S43" s="1" t="s">
        <v>73</v>
      </c>
    </row>
    <row r="44" spans="2:19" s="1" customFormat="1" hidden="1" x14ac:dyDescent="0.25">
      <c r="B44" s="1" t="s">
        <v>27</v>
      </c>
      <c r="C44" s="16" t="s">
        <v>0</v>
      </c>
      <c r="D44" s="3">
        <f t="shared" ref="D44:R44" si="37">D43*(1-$C$4)</f>
        <v>87300</v>
      </c>
      <c r="E44" s="3">
        <f t="shared" si="37"/>
        <v>94196.7</v>
      </c>
      <c r="F44" s="3">
        <f t="shared" si="37"/>
        <v>101638.2393</v>
      </c>
      <c r="G44" s="3">
        <f t="shared" si="37"/>
        <v>109667.66020469999</v>
      </c>
      <c r="H44" s="3">
        <f t="shared" si="37"/>
        <v>118331.40536087129</v>
      </c>
      <c r="I44" s="3">
        <f t="shared" si="37"/>
        <v>127679.58638438012</v>
      </c>
      <c r="J44" s="3">
        <f t="shared" si="37"/>
        <v>137766.27370874613</v>
      </c>
      <c r="K44" s="3">
        <f t="shared" si="37"/>
        <v>148649.80933173708</v>
      </c>
      <c r="L44" s="3">
        <f t="shared" si="37"/>
        <v>160393.14426894431</v>
      </c>
      <c r="M44" s="3">
        <f t="shared" si="37"/>
        <v>173064.20266619089</v>
      </c>
      <c r="N44" s="3">
        <f t="shared" si="37"/>
        <v>186736.27467681997</v>
      </c>
      <c r="O44" s="3">
        <f t="shared" si="37"/>
        <v>201488.44037628875</v>
      </c>
      <c r="P44" s="3">
        <f t="shared" si="37"/>
        <v>217406.02716601556</v>
      </c>
      <c r="Q44" s="3">
        <f t="shared" si="37"/>
        <v>234581.10331213078</v>
      </c>
      <c r="R44" s="3">
        <f t="shared" si="37"/>
        <v>253113.01047378912</v>
      </c>
      <c r="S44" s="1" t="s">
        <v>73</v>
      </c>
    </row>
    <row r="45" spans="2:19" s="1" customFormat="1" hidden="1" x14ac:dyDescent="0.25">
      <c r="B45" s="1" t="s">
        <v>28</v>
      </c>
      <c r="C45" s="16"/>
      <c r="D45" s="3">
        <v>3000</v>
      </c>
      <c r="E45" s="15">
        <f t="shared" ref="E45:R45" si="38">(D45*(1+$E$5))</f>
        <v>3090</v>
      </c>
      <c r="F45" s="15">
        <f t="shared" si="38"/>
        <v>3182.7000000000003</v>
      </c>
      <c r="G45" s="15">
        <f t="shared" si="38"/>
        <v>3278.1810000000005</v>
      </c>
      <c r="H45" s="15">
        <f t="shared" si="38"/>
        <v>3376.5264300000008</v>
      </c>
      <c r="I45" s="15">
        <f t="shared" si="38"/>
        <v>3477.8222229000007</v>
      </c>
      <c r="J45" s="15">
        <f t="shared" si="38"/>
        <v>3582.1568895870009</v>
      </c>
      <c r="K45" s="15">
        <f t="shared" si="38"/>
        <v>3689.621596274611</v>
      </c>
      <c r="L45" s="15">
        <f t="shared" si="38"/>
        <v>3800.3102441628494</v>
      </c>
      <c r="M45" s="15">
        <f t="shared" si="38"/>
        <v>3914.3195514877348</v>
      </c>
      <c r="N45" s="15">
        <f t="shared" si="38"/>
        <v>4031.7491380323668</v>
      </c>
      <c r="O45" s="15">
        <f t="shared" si="38"/>
        <v>4152.7016121733377</v>
      </c>
      <c r="P45" s="15">
        <f t="shared" si="38"/>
        <v>4277.282660538538</v>
      </c>
      <c r="Q45" s="15">
        <f t="shared" si="38"/>
        <v>4405.6011403546945</v>
      </c>
      <c r="R45" s="15">
        <f t="shared" si="38"/>
        <v>4537.7691745653356</v>
      </c>
      <c r="S45" s="1" t="s">
        <v>73</v>
      </c>
    </row>
    <row r="46" spans="2:19" s="1" customFormat="1" hidden="1" x14ac:dyDescent="0.25">
      <c r="B46" s="1" t="s">
        <v>29</v>
      </c>
      <c r="C46" s="16"/>
      <c r="D46" s="3">
        <v>0</v>
      </c>
      <c r="E46" s="15">
        <f t="shared" ref="E46:R46" si="39">(D46*(1+$E$5))</f>
        <v>0</v>
      </c>
      <c r="F46" s="15">
        <f t="shared" si="39"/>
        <v>0</v>
      </c>
      <c r="G46" s="15">
        <f t="shared" si="39"/>
        <v>0</v>
      </c>
      <c r="H46" s="15">
        <f t="shared" si="39"/>
        <v>0</v>
      </c>
      <c r="I46" s="15">
        <f t="shared" si="39"/>
        <v>0</v>
      </c>
      <c r="J46" s="15">
        <f t="shared" si="39"/>
        <v>0</v>
      </c>
      <c r="K46" s="15">
        <f t="shared" si="39"/>
        <v>0</v>
      </c>
      <c r="L46" s="15">
        <f t="shared" si="39"/>
        <v>0</v>
      </c>
      <c r="M46" s="15">
        <f t="shared" si="39"/>
        <v>0</v>
      </c>
      <c r="N46" s="15">
        <f t="shared" si="39"/>
        <v>0</v>
      </c>
      <c r="O46" s="15">
        <f t="shared" si="39"/>
        <v>0</v>
      </c>
      <c r="P46" s="15">
        <f t="shared" si="39"/>
        <v>0</v>
      </c>
      <c r="Q46" s="15">
        <f t="shared" si="39"/>
        <v>0</v>
      </c>
      <c r="R46" s="15">
        <f t="shared" si="39"/>
        <v>0</v>
      </c>
      <c r="S46" s="1" t="s">
        <v>73</v>
      </c>
    </row>
    <row r="47" spans="2:19" s="1" customFormat="1" hidden="1" x14ac:dyDescent="0.25">
      <c r="B47" s="1" t="s">
        <v>49</v>
      </c>
      <c r="D47" s="3">
        <v>0</v>
      </c>
      <c r="E47" s="15">
        <f t="shared" ref="E47:R47" si="40">(D47*(1+$E$5))</f>
        <v>0</v>
      </c>
      <c r="F47" s="15">
        <f t="shared" si="40"/>
        <v>0</v>
      </c>
      <c r="G47" s="15">
        <f t="shared" si="40"/>
        <v>0</v>
      </c>
      <c r="H47" s="15">
        <f t="shared" si="40"/>
        <v>0</v>
      </c>
      <c r="I47" s="15">
        <f t="shared" si="40"/>
        <v>0</v>
      </c>
      <c r="J47" s="15">
        <f t="shared" si="40"/>
        <v>0</v>
      </c>
      <c r="K47" s="15">
        <f t="shared" si="40"/>
        <v>0</v>
      </c>
      <c r="L47" s="15">
        <f t="shared" si="40"/>
        <v>0</v>
      </c>
      <c r="M47" s="15">
        <f t="shared" si="40"/>
        <v>0</v>
      </c>
      <c r="N47" s="15">
        <f t="shared" si="40"/>
        <v>0</v>
      </c>
      <c r="O47" s="15">
        <f t="shared" si="40"/>
        <v>0</v>
      </c>
      <c r="P47" s="15">
        <f t="shared" si="40"/>
        <v>0</v>
      </c>
      <c r="Q47" s="15">
        <f t="shared" si="40"/>
        <v>0</v>
      </c>
      <c r="R47" s="15">
        <f t="shared" si="40"/>
        <v>0</v>
      </c>
      <c r="S47" s="1" t="s">
        <v>73</v>
      </c>
    </row>
    <row r="48" spans="2:19" s="1" customFormat="1" hidden="1" x14ac:dyDescent="0.25">
      <c r="B48" s="1" t="s">
        <v>30</v>
      </c>
      <c r="D48" s="3">
        <v>540</v>
      </c>
      <c r="E48" s="15">
        <f t="shared" ref="E48:R48" si="41">(D48*(1+$E$5))</f>
        <v>556.20000000000005</v>
      </c>
      <c r="F48" s="15">
        <f t="shared" si="41"/>
        <v>572.88600000000008</v>
      </c>
      <c r="G48" s="15">
        <f t="shared" si="41"/>
        <v>590.07258000000013</v>
      </c>
      <c r="H48" s="15">
        <f t="shared" si="41"/>
        <v>607.77475740000011</v>
      </c>
      <c r="I48" s="15">
        <f t="shared" si="41"/>
        <v>626.00800012200011</v>
      </c>
      <c r="J48" s="15">
        <f t="shared" si="41"/>
        <v>644.78824012566008</v>
      </c>
      <c r="K48" s="15">
        <f t="shared" si="41"/>
        <v>664.1318873294299</v>
      </c>
      <c r="L48" s="15">
        <f t="shared" si="41"/>
        <v>684.05584394931282</v>
      </c>
      <c r="M48" s="15">
        <f t="shared" si="41"/>
        <v>704.57751926779224</v>
      </c>
      <c r="N48" s="15">
        <f t="shared" si="41"/>
        <v>725.71484484582606</v>
      </c>
      <c r="O48" s="15">
        <f t="shared" si="41"/>
        <v>747.48629019120085</v>
      </c>
      <c r="P48" s="15">
        <f t="shared" si="41"/>
        <v>769.91087889693688</v>
      </c>
      <c r="Q48" s="15">
        <f t="shared" si="41"/>
        <v>793.00820526384496</v>
      </c>
      <c r="R48" s="15">
        <f t="shared" si="41"/>
        <v>816.79845142176032</v>
      </c>
      <c r="S48" s="1" t="s">
        <v>73</v>
      </c>
    </row>
    <row r="49" spans="2:19" s="1" customFormat="1" hidden="1" x14ac:dyDescent="0.25">
      <c r="B49" s="1" t="s">
        <v>31</v>
      </c>
      <c r="D49" s="3">
        <v>495</v>
      </c>
      <c r="E49" s="15">
        <f t="shared" ref="E49:R49" si="42">(D49*(1+$E$5))</f>
        <v>509.85</v>
      </c>
      <c r="F49" s="15">
        <f t="shared" si="42"/>
        <v>525.14550000000008</v>
      </c>
      <c r="G49" s="15">
        <f t="shared" si="42"/>
        <v>540.89986500000009</v>
      </c>
      <c r="H49" s="15">
        <f t="shared" si="42"/>
        <v>557.12686095000015</v>
      </c>
      <c r="I49" s="15">
        <f t="shared" si="42"/>
        <v>573.84066677850012</v>
      </c>
      <c r="J49" s="15">
        <f t="shared" si="42"/>
        <v>591.05588678185518</v>
      </c>
      <c r="K49" s="15">
        <f t="shared" si="42"/>
        <v>608.78756338531082</v>
      </c>
      <c r="L49" s="15">
        <f t="shared" si="42"/>
        <v>627.05119028687011</v>
      </c>
      <c r="M49" s="15">
        <f t="shared" si="42"/>
        <v>645.86272599547624</v>
      </c>
      <c r="N49" s="15">
        <f t="shared" si="42"/>
        <v>665.2386077753406</v>
      </c>
      <c r="O49" s="15">
        <f t="shared" si="42"/>
        <v>685.1957660086008</v>
      </c>
      <c r="P49" s="15">
        <f t="shared" si="42"/>
        <v>705.75163898885887</v>
      </c>
      <c r="Q49" s="15">
        <f t="shared" si="42"/>
        <v>726.92418815852466</v>
      </c>
      <c r="R49" s="15">
        <f t="shared" si="42"/>
        <v>748.73191380328046</v>
      </c>
      <c r="S49" s="1" t="s">
        <v>73</v>
      </c>
    </row>
    <row r="50" spans="2:19" s="1" customFormat="1" hidden="1" x14ac:dyDescent="0.25">
      <c r="B50" s="1" t="s">
        <v>48</v>
      </c>
      <c r="D50" s="3">
        <v>1150</v>
      </c>
      <c r="E50" s="15">
        <f t="shared" ref="E50:R50" si="43">(D50*(1+$E$5))</f>
        <v>1184.5</v>
      </c>
      <c r="F50" s="15">
        <f t="shared" si="43"/>
        <v>1220.0350000000001</v>
      </c>
      <c r="G50" s="15">
        <f t="shared" si="43"/>
        <v>1256.6360500000001</v>
      </c>
      <c r="H50" s="15">
        <f t="shared" si="43"/>
        <v>1294.3351315000002</v>
      </c>
      <c r="I50" s="15">
        <f t="shared" si="43"/>
        <v>1333.1651854450004</v>
      </c>
      <c r="J50" s="15">
        <f t="shared" si="43"/>
        <v>1373.1601410083504</v>
      </c>
      <c r="K50" s="15">
        <f t="shared" si="43"/>
        <v>1414.354945238601</v>
      </c>
      <c r="L50" s="15">
        <f t="shared" si="43"/>
        <v>1456.7855935957591</v>
      </c>
      <c r="M50" s="15">
        <f t="shared" si="43"/>
        <v>1500.4891614036319</v>
      </c>
      <c r="N50" s="15">
        <f t="shared" si="43"/>
        <v>1545.5038362457408</v>
      </c>
      <c r="O50" s="15">
        <f t="shared" si="43"/>
        <v>1591.868951333113</v>
      </c>
      <c r="P50" s="15">
        <f t="shared" si="43"/>
        <v>1639.6250198731066</v>
      </c>
      <c r="Q50" s="15">
        <f t="shared" si="43"/>
        <v>1688.8137704692997</v>
      </c>
      <c r="R50" s="15">
        <f t="shared" si="43"/>
        <v>1739.4781835833787</v>
      </c>
      <c r="S50" s="1" t="s">
        <v>73</v>
      </c>
    </row>
    <row r="51" spans="2:19" s="1" customFormat="1" hidden="1" x14ac:dyDescent="0.25">
      <c r="B51" s="1" t="s">
        <v>32</v>
      </c>
      <c r="D51" s="3">
        <v>355</v>
      </c>
      <c r="E51" s="15">
        <f t="shared" ref="E51:R51" si="44">(D51*(1+$E$5))</f>
        <v>365.65000000000003</v>
      </c>
      <c r="F51" s="15">
        <f t="shared" si="44"/>
        <v>376.61950000000007</v>
      </c>
      <c r="G51" s="15">
        <f t="shared" si="44"/>
        <v>387.91808500000008</v>
      </c>
      <c r="H51" s="15">
        <f t="shared" si="44"/>
        <v>399.55562755000011</v>
      </c>
      <c r="I51" s="15">
        <f t="shared" si="44"/>
        <v>411.54229637650013</v>
      </c>
      <c r="J51" s="15">
        <f t="shared" si="44"/>
        <v>423.88856526779517</v>
      </c>
      <c r="K51" s="15">
        <f t="shared" si="44"/>
        <v>436.60522222582904</v>
      </c>
      <c r="L51" s="15">
        <f t="shared" si="44"/>
        <v>449.70337889260389</v>
      </c>
      <c r="M51" s="15">
        <f t="shared" si="44"/>
        <v>463.19448025938203</v>
      </c>
      <c r="N51" s="15">
        <f t="shared" si="44"/>
        <v>477.09031466716351</v>
      </c>
      <c r="O51" s="15">
        <f t="shared" si="44"/>
        <v>491.40302410717845</v>
      </c>
      <c r="P51" s="15">
        <f t="shared" si="44"/>
        <v>506.14511483039382</v>
      </c>
      <c r="Q51" s="15">
        <f t="shared" si="44"/>
        <v>521.32946827530566</v>
      </c>
      <c r="R51" s="15">
        <f t="shared" si="44"/>
        <v>536.96935232356486</v>
      </c>
      <c r="S51" s="1" t="s">
        <v>73</v>
      </c>
    </row>
    <row r="52" spans="2:19" s="1" customFormat="1" hidden="1" x14ac:dyDescent="0.25">
      <c r="B52" s="1" t="s">
        <v>33</v>
      </c>
      <c r="D52" s="3">
        <v>130</v>
      </c>
      <c r="E52" s="15">
        <f t="shared" ref="E52:R52" si="45">(D52*(1+$E$5))</f>
        <v>133.9</v>
      </c>
      <c r="F52" s="15">
        <f t="shared" si="45"/>
        <v>137.917</v>
      </c>
      <c r="G52" s="15">
        <f t="shared" si="45"/>
        <v>142.05450999999999</v>
      </c>
      <c r="H52" s="15">
        <f t="shared" si="45"/>
        <v>146.31614529999999</v>
      </c>
      <c r="I52" s="15">
        <f t="shared" si="45"/>
        <v>150.70562965899998</v>
      </c>
      <c r="J52" s="15">
        <f t="shared" si="45"/>
        <v>155.22679854876998</v>
      </c>
      <c r="K52" s="15">
        <f t="shared" si="45"/>
        <v>159.88360250523309</v>
      </c>
      <c r="L52" s="15">
        <f t="shared" si="45"/>
        <v>164.68011058039008</v>
      </c>
      <c r="M52" s="15">
        <f t="shared" si="45"/>
        <v>169.62051389780177</v>
      </c>
      <c r="N52" s="15">
        <f t="shared" si="45"/>
        <v>174.70912931473583</v>
      </c>
      <c r="O52" s="15">
        <f t="shared" si="45"/>
        <v>179.95040319417791</v>
      </c>
      <c r="P52" s="15">
        <f t="shared" si="45"/>
        <v>185.34891529000325</v>
      </c>
      <c r="Q52" s="15">
        <f t="shared" si="45"/>
        <v>190.90938274870334</v>
      </c>
      <c r="R52" s="15">
        <f t="shared" si="45"/>
        <v>196.63666423116445</v>
      </c>
      <c r="S52" s="1" t="s">
        <v>73</v>
      </c>
    </row>
    <row r="53" spans="2:19" s="1" customFormat="1" hidden="1" x14ac:dyDescent="0.25">
      <c r="B53" s="1" t="s">
        <v>47</v>
      </c>
      <c r="C53" s="17"/>
      <c r="D53" s="3">
        <v>4800</v>
      </c>
      <c r="E53" s="3">
        <f>D53*1.03</f>
        <v>4944</v>
      </c>
      <c r="F53" s="3">
        <f t="shared" ref="F53:N53" si="46">E53*1.03</f>
        <v>5092.32</v>
      </c>
      <c r="G53" s="3">
        <f t="shared" si="46"/>
        <v>5245.0896000000002</v>
      </c>
      <c r="H53" s="3">
        <f t="shared" si="46"/>
        <v>5402.4422880000002</v>
      </c>
      <c r="I53" s="3">
        <f t="shared" si="46"/>
        <v>5564.5155566399999</v>
      </c>
      <c r="J53" s="3">
        <f t="shared" si="46"/>
        <v>5731.4510233392002</v>
      </c>
      <c r="K53" s="3">
        <f t="shared" si="46"/>
        <v>5903.3945540393761</v>
      </c>
      <c r="L53" s="3">
        <f t="shared" si="46"/>
        <v>6080.4963906605572</v>
      </c>
      <c r="M53" s="3">
        <f t="shared" si="46"/>
        <v>6262.9112823803744</v>
      </c>
      <c r="N53" s="3">
        <f t="shared" si="46"/>
        <v>6450.7986208517859</v>
      </c>
      <c r="O53" s="3">
        <f>N53*1.03</f>
        <v>6644.3225794773398</v>
      </c>
      <c r="P53" s="3">
        <f t="shared" ref="P53" si="47">O53*1.03</f>
        <v>6843.6522568616601</v>
      </c>
      <c r="Q53" s="3">
        <f t="shared" ref="Q53" si="48">P53*1.03</f>
        <v>7048.9618245675101</v>
      </c>
      <c r="R53" s="3">
        <f t="shared" ref="R53" si="49">Q53*1.03</f>
        <v>7260.4306793045353</v>
      </c>
      <c r="S53" s="1" t="s">
        <v>73</v>
      </c>
    </row>
    <row r="54" spans="2:19" s="1" customFormat="1" hidden="1" x14ac:dyDescent="0.25">
      <c r="B54" s="1" t="s">
        <v>34</v>
      </c>
      <c r="D54" s="3">
        <f t="shared" ref="D54:N54" si="50">D44*0.03</f>
        <v>2619</v>
      </c>
      <c r="E54" s="3">
        <f t="shared" si="50"/>
        <v>2825.9009999999998</v>
      </c>
      <c r="F54" s="3">
        <f t="shared" si="50"/>
        <v>3049.1471790000001</v>
      </c>
      <c r="G54" s="3">
        <f t="shared" si="50"/>
        <v>3290.0298061409994</v>
      </c>
      <c r="H54" s="3">
        <f t="shared" si="50"/>
        <v>3549.9421608261387</v>
      </c>
      <c r="I54" s="3">
        <f t="shared" si="50"/>
        <v>3830.3875915314034</v>
      </c>
      <c r="J54" s="3">
        <f t="shared" si="50"/>
        <v>4132.9882112623836</v>
      </c>
      <c r="K54" s="3">
        <f t="shared" si="50"/>
        <v>4459.4942799521123</v>
      </c>
      <c r="L54" s="3">
        <f t="shared" si="50"/>
        <v>4811.7943280683294</v>
      </c>
      <c r="M54" s="3">
        <f t="shared" si="50"/>
        <v>5191.9260799857266</v>
      </c>
      <c r="N54" s="3">
        <f t="shared" si="50"/>
        <v>5602.0882403045989</v>
      </c>
      <c r="O54" s="3">
        <f t="shared" ref="O54:R54" si="51">O44*0.03</f>
        <v>6044.6532112886625</v>
      </c>
      <c r="P54" s="3">
        <f t="shared" si="51"/>
        <v>6522.1808149804665</v>
      </c>
      <c r="Q54" s="3">
        <f t="shared" si="51"/>
        <v>7037.4330993639232</v>
      </c>
      <c r="R54" s="3">
        <f t="shared" si="51"/>
        <v>7593.3903142136733</v>
      </c>
      <c r="S54" s="1" t="s">
        <v>73</v>
      </c>
    </row>
    <row r="55" spans="2:19" s="1" customFormat="1" hidden="1" x14ac:dyDescent="0.25">
      <c r="D55" s="3"/>
      <c r="H55" s="15"/>
      <c r="J55" s="15"/>
      <c r="N55" s="15"/>
      <c r="O55" s="15"/>
      <c r="P55" s="15"/>
      <c r="Q55" s="15"/>
      <c r="R55" s="15"/>
      <c r="S55" s="1" t="s">
        <v>73</v>
      </c>
    </row>
    <row r="56" spans="2:19" s="1" customFormat="1" hidden="1" x14ac:dyDescent="0.25">
      <c r="B56" s="1" t="s">
        <v>35</v>
      </c>
      <c r="D56" s="3">
        <f t="shared" ref="D56:R56" si="52">(D44+D46)*(1-$C$6)</f>
        <v>21825</v>
      </c>
      <c r="E56" s="3">
        <f t="shared" si="52"/>
        <v>23549.174999999999</v>
      </c>
      <c r="F56" s="3">
        <f t="shared" si="52"/>
        <v>25409.559825</v>
      </c>
      <c r="G56" s="3">
        <f t="shared" si="52"/>
        <v>27416.915051174998</v>
      </c>
      <c r="H56" s="3">
        <f t="shared" si="52"/>
        <v>29582.851340217821</v>
      </c>
      <c r="I56" s="3">
        <f t="shared" si="52"/>
        <v>31919.89659609503</v>
      </c>
      <c r="J56" s="3">
        <f t="shared" si="52"/>
        <v>34441.568427186532</v>
      </c>
      <c r="K56" s="3">
        <f t="shared" si="52"/>
        <v>37162.45233293427</v>
      </c>
      <c r="L56" s="3">
        <f t="shared" si="52"/>
        <v>40098.286067236077</v>
      </c>
      <c r="M56" s="3">
        <f t="shared" si="52"/>
        <v>43266.050666547722</v>
      </c>
      <c r="N56" s="3">
        <f t="shared" si="52"/>
        <v>46684.068669204993</v>
      </c>
      <c r="O56" s="3">
        <f t="shared" si="52"/>
        <v>50372.110094072188</v>
      </c>
      <c r="P56" s="3">
        <f t="shared" si="52"/>
        <v>54351.506791503889</v>
      </c>
      <c r="Q56" s="3">
        <f t="shared" si="52"/>
        <v>58645.275828032696</v>
      </c>
      <c r="R56" s="3">
        <f t="shared" si="52"/>
        <v>63278.252618447281</v>
      </c>
      <c r="S56" s="1" t="s">
        <v>73</v>
      </c>
    </row>
    <row r="57" spans="2:19" s="1" customFormat="1" hidden="1" x14ac:dyDescent="0.25">
      <c r="B57" s="1" t="s">
        <v>36</v>
      </c>
      <c r="D57" s="3">
        <f>D44*$C$6</f>
        <v>65475</v>
      </c>
      <c r="E57" s="3">
        <f t="shared" ref="E57:R57" si="53">(E44+E46)*$C$6</f>
        <v>70647.524999999994</v>
      </c>
      <c r="F57" s="3">
        <f t="shared" si="53"/>
        <v>76228.679474999997</v>
      </c>
      <c r="G57" s="3">
        <f t="shared" si="53"/>
        <v>82250.745153525</v>
      </c>
      <c r="H57" s="3">
        <f t="shared" si="53"/>
        <v>88748.554020653464</v>
      </c>
      <c r="I57" s="3">
        <f t="shared" si="53"/>
        <v>95759.68978828509</v>
      </c>
      <c r="J57" s="3">
        <f t="shared" si="53"/>
        <v>103324.7052815596</v>
      </c>
      <c r="K57" s="3">
        <f t="shared" si="53"/>
        <v>111487.3569988028</v>
      </c>
      <c r="L57" s="3">
        <f t="shared" si="53"/>
        <v>120294.85820170824</v>
      </c>
      <c r="M57" s="3">
        <f t="shared" si="53"/>
        <v>129798.15199964316</v>
      </c>
      <c r="N57" s="3">
        <f t="shared" si="53"/>
        <v>140052.20600761496</v>
      </c>
      <c r="O57" s="3">
        <f t="shared" si="53"/>
        <v>151116.33028221657</v>
      </c>
      <c r="P57" s="3">
        <f t="shared" si="53"/>
        <v>163054.52037451166</v>
      </c>
      <c r="Q57" s="3">
        <f t="shared" si="53"/>
        <v>175935.82748409809</v>
      </c>
      <c r="R57" s="3">
        <f t="shared" si="53"/>
        <v>189834.75785534183</v>
      </c>
      <c r="S57" s="1" t="s">
        <v>73</v>
      </c>
    </row>
    <row r="58" spans="2:19" s="1" customFormat="1" hidden="1" x14ac:dyDescent="0.25">
      <c r="D58" s="3"/>
      <c r="S58" s="1" t="s">
        <v>73</v>
      </c>
    </row>
    <row r="59" spans="2:19" s="1" customFormat="1" hidden="1" x14ac:dyDescent="0.25">
      <c r="B59" s="1" t="s">
        <v>37</v>
      </c>
      <c r="D59" s="3">
        <f>SUM(D45:D56)</f>
        <v>34914</v>
      </c>
      <c r="E59" s="3">
        <f>SUM(E45:E56)</f>
        <v>37159.175999999999</v>
      </c>
      <c r="F59" s="3">
        <f t="shared" ref="F59:N59" si="54">SUM(F45:F56)</f>
        <v>39566.330004000003</v>
      </c>
      <c r="G59" s="3">
        <f t="shared" si="54"/>
        <v>42147.796547316</v>
      </c>
      <c r="H59" s="3">
        <f t="shared" si="54"/>
        <v>44916.870741743958</v>
      </c>
      <c r="I59" s="3">
        <f t="shared" si="54"/>
        <v>47887.883745547435</v>
      </c>
      <c r="J59" s="3">
        <f t="shared" si="54"/>
        <v>51076.284183107549</v>
      </c>
      <c r="K59" s="3">
        <f t="shared" si="54"/>
        <v>54498.725983884775</v>
      </c>
      <c r="L59" s="3">
        <f t="shared" si="54"/>
        <v>58173.163147432744</v>
      </c>
      <c r="M59" s="3">
        <f t="shared" si="54"/>
        <v>62118.951981225648</v>
      </c>
      <c r="N59" s="3">
        <f t="shared" si="54"/>
        <v>66356.961401242559</v>
      </c>
      <c r="O59" s="3">
        <f t="shared" ref="O59:R59" si="55">SUM(O45:O56)</f>
        <v>70909.691931845795</v>
      </c>
      <c r="P59" s="3">
        <f t="shared" si="55"/>
        <v>75801.404091763849</v>
      </c>
      <c r="Q59" s="3">
        <f t="shared" si="55"/>
        <v>81058.256907234507</v>
      </c>
      <c r="R59" s="3">
        <f t="shared" si="55"/>
        <v>86708.457351893972</v>
      </c>
      <c r="S59" s="1" t="s">
        <v>73</v>
      </c>
    </row>
    <row r="60" spans="2:19" s="1" customFormat="1" hidden="1" x14ac:dyDescent="0.25">
      <c r="D60" s="3"/>
      <c r="S60" s="1" t="s">
        <v>73</v>
      </c>
    </row>
    <row r="61" spans="2:19" s="1" customFormat="1" hidden="1" x14ac:dyDescent="0.25">
      <c r="B61" s="1" t="s">
        <v>38</v>
      </c>
      <c r="D61" s="3">
        <v>93000</v>
      </c>
      <c r="E61" s="15">
        <f t="shared" ref="E61:R61" si="56">D61*(1+$E$4)</f>
        <v>100347</v>
      </c>
      <c r="F61" s="15">
        <f t="shared" si="56"/>
        <v>108274.413</v>
      </c>
      <c r="G61" s="15">
        <f t="shared" si="56"/>
        <v>116828.091627</v>
      </c>
      <c r="H61" s="15">
        <f t="shared" si="56"/>
        <v>126057.510865533</v>
      </c>
      <c r="I61" s="15">
        <f t="shared" si="56"/>
        <v>136016.05422391009</v>
      </c>
      <c r="J61" s="15">
        <f t="shared" si="56"/>
        <v>146761.32250759899</v>
      </c>
      <c r="K61" s="15">
        <f t="shared" si="56"/>
        <v>158355.46698569931</v>
      </c>
      <c r="L61" s="15">
        <f t="shared" si="56"/>
        <v>170865.54887756956</v>
      </c>
      <c r="M61" s="15">
        <f t="shared" si="56"/>
        <v>184363.92723889754</v>
      </c>
      <c r="N61" s="15">
        <f t="shared" si="56"/>
        <v>198928.67749077044</v>
      </c>
      <c r="O61" s="15">
        <f t="shared" si="56"/>
        <v>214644.04301254128</v>
      </c>
      <c r="P61" s="15">
        <f t="shared" si="56"/>
        <v>231600.92241053205</v>
      </c>
      <c r="Q61" s="15">
        <f t="shared" si="56"/>
        <v>249897.39528096406</v>
      </c>
      <c r="R61" s="15">
        <f t="shared" si="56"/>
        <v>269639.2895081602</v>
      </c>
      <c r="S61" s="1" t="s">
        <v>73</v>
      </c>
    </row>
    <row r="62" spans="2:19" s="1" customFormat="1" hidden="1" x14ac:dyDescent="0.25">
      <c r="B62" s="1" t="s">
        <v>39</v>
      </c>
      <c r="D62" s="3">
        <f>D57</f>
        <v>65475</v>
      </c>
      <c r="E62" s="3">
        <f t="shared" ref="E62:N62" si="57">E57</f>
        <v>70647.524999999994</v>
      </c>
      <c r="F62" s="3">
        <f t="shared" si="57"/>
        <v>76228.679474999997</v>
      </c>
      <c r="G62" s="3">
        <f t="shared" si="57"/>
        <v>82250.745153525</v>
      </c>
      <c r="H62" s="3">
        <f t="shared" si="57"/>
        <v>88748.554020653464</v>
      </c>
      <c r="I62" s="3">
        <f t="shared" si="57"/>
        <v>95759.68978828509</v>
      </c>
      <c r="J62" s="3">
        <f t="shared" si="57"/>
        <v>103324.7052815596</v>
      </c>
      <c r="K62" s="3">
        <f t="shared" si="57"/>
        <v>111487.3569988028</v>
      </c>
      <c r="L62" s="3">
        <f t="shared" si="57"/>
        <v>120294.85820170824</v>
      </c>
      <c r="M62" s="3">
        <f t="shared" si="57"/>
        <v>129798.15199964316</v>
      </c>
      <c r="N62" s="3">
        <f t="shared" si="57"/>
        <v>140052.20600761496</v>
      </c>
      <c r="O62" s="3">
        <f t="shared" ref="O62:R62" si="58">O57</f>
        <v>151116.33028221657</v>
      </c>
      <c r="P62" s="3">
        <f t="shared" si="58"/>
        <v>163054.52037451166</v>
      </c>
      <c r="Q62" s="3">
        <f t="shared" si="58"/>
        <v>175935.82748409809</v>
      </c>
      <c r="R62" s="3">
        <f t="shared" si="58"/>
        <v>189834.75785534183</v>
      </c>
      <c r="S62" s="1" t="s">
        <v>73</v>
      </c>
    </row>
    <row r="63" spans="2:19" s="1" customFormat="1" hidden="1" x14ac:dyDescent="0.25">
      <c r="B63" s="1" t="s">
        <v>72</v>
      </c>
      <c r="D63" s="3"/>
      <c r="E63" s="3">
        <f>(E43-E44)*$C$6</f>
        <v>2184.9750000000022</v>
      </c>
      <c r="F63" s="3">
        <f t="shared" ref="F63:R63" si="59">(F43-F44)*$C$6</f>
        <v>2357.5880250000009</v>
      </c>
      <c r="G63" s="3">
        <f t="shared" si="59"/>
        <v>2543.8374789750051</v>
      </c>
      <c r="H63" s="3">
        <f t="shared" si="59"/>
        <v>2744.8006398140278</v>
      </c>
      <c r="I63" s="3">
        <f t="shared" si="59"/>
        <v>2961.6398903593363</v>
      </c>
      <c r="J63" s="3">
        <f t="shared" si="59"/>
        <v>3195.6094416977285</v>
      </c>
      <c r="K63" s="3">
        <f t="shared" si="59"/>
        <v>3448.0625875918413</v>
      </c>
      <c r="L63" s="3">
        <f t="shared" si="59"/>
        <v>3720.4595320115914</v>
      </c>
      <c r="M63" s="3">
        <f t="shared" si="59"/>
        <v>4014.3758350405114</v>
      </c>
      <c r="N63" s="3">
        <f t="shared" si="59"/>
        <v>4331.5115260087114</v>
      </c>
      <c r="O63" s="3">
        <f t="shared" si="59"/>
        <v>4673.700936563393</v>
      </c>
      <c r="P63" s="3">
        <f t="shared" si="59"/>
        <v>5042.9233105519088</v>
      </c>
      <c r="Q63" s="3">
        <f t="shared" si="59"/>
        <v>5441.3142520855108</v>
      </c>
      <c r="R63" s="3">
        <f t="shared" si="59"/>
        <v>5871.1780780002591</v>
      </c>
      <c r="S63" s="1" t="s">
        <v>73</v>
      </c>
    </row>
    <row r="64" spans="2:19" s="1" customFormat="1" hidden="1" x14ac:dyDescent="0.25">
      <c r="B64" s="1" t="s">
        <v>40</v>
      </c>
      <c r="D64" s="3">
        <f>D61-D62</f>
        <v>27525</v>
      </c>
      <c r="E64" s="3">
        <f t="shared" ref="E64:N64" si="60">E61-E62</f>
        <v>29699.475000000006</v>
      </c>
      <c r="F64" s="3">
        <f t="shared" si="60"/>
        <v>32045.733525000003</v>
      </c>
      <c r="G64" s="3">
        <f t="shared" si="60"/>
        <v>34577.346473475001</v>
      </c>
      <c r="H64" s="3">
        <f t="shared" si="60"/>
        <v>37308.956844879533</v>
      </c>
      <c r="I64" s="3">
        <f t="shared" si="60"/>
        <v>40256.364435625001</v>
      </c>
      <c r="J64" s="3">
        <f t="shared" si="60"/>
        <v>43436.617226039394</v>
      </c>
      <c r="K64" s="3">
        <f t="shared" si="60"/>
        <v>46868.10998689651</v>
      </c>
      <c r="L64" s="3">
        <f t="shared" si="60"/>
        <v>50570.690675861319</v>
      </c>
      <c r="M64" s="3">
        <f t="shared" si="60"/>
        <v>54565.775239254377</v>
      </c>
      <c r="N64" s="3">
        <f t="shared" si="60"/>
        <v>58876.471483155474</v>
      </c>
      <c r="O64" s="3">
        <f t="shared" ref="O64:R64" si="61">O61-O62</f>
        <v>63527.712730324711</v>
      </c>
      <c r="P64" s="3">
        <f t="shared" si="61"/>
        <v>68546.402036020387</v>
      </c>
      <c r="Q64" s="3">
        <f t="shared" si="61"/>
        <v>73961.567796865973</v>
      </c>
      <c r="R64" s="3">
        <f t="shared" si="61"/>
        <v>79804.531652818376</v>
      </c>
      <c r="S64" s="1" t="s">
        <v>73</v>
      </c>
    </row>
    <row r="65" spans="2:19" s="1" customFormat="1" hidden="1" x14ac:dyDescent="0.25">
      <c r="B65" s="1" t="s">
        <v>68</v>
      </c>
      <c r="D65" s="3">
        <v>1000</v>
      </c>
      <c r="E65" s="18">
        <f t="shared" ref="E65:O65" si="62">D65*1.03</f>
        <v>1030</v>
      </c>
      <c r="F65" s="18">
        <f t="shared" si="62"/>
        <v>1060.9000000000001</v>
      </c>
      <c r="G65" s="18">
        <f t="shared" si="62"/>
        <v>1092.7270000000001</v>
      </c>
      <c r="H65" s="18">
        <f t="shared" si="62"/>
        <v>1125.50881</v>
      </c>
      <c r="I65" s="18">
        <f t="shared" si="62"/>
        <v>1159.2740743000002</v>
      </c>
      <c r="J65" s="18">
        <f t="shared" si="62"/>
        <v>1194.0522965290002</v>
      </c>
      <c r="K65" s="18">
        <f t="shared" si="62"/>
        <v>1229.8738654248702</v>
      </c>
      <c r="L65" s="18">
        <f t="shared" si="62"/>
        <v>1266.7700813876163</v>
      </c>
      <c r="M65" s="18">
        <f t="shared" si="62"/>
        <v>1304.7731838292448</v>
      </c>
      <c r="N65" s="18">
        <f t="shared" si="62"/>
        <v>1343.9163793441221</v>
      </c>
      <c r="O65" s="18">
        <f t="shared" si="62"/>
        <v>1384.2338707244458</v>
      </c>
      <c r="P65" s="18">
        <f t="shared" ref="P65:R65" si="63">O65*1.03</f>
        <v>1425.7608868461791</v>
      </c>
      <c r="Q65" s="18">
        <f t="shared" si="63"/>
        <v>1468.5337134515646</v>
      </c>
      <c r="R65" s="18">
        <f t="shared" si="63"/>
        <v>1512.5897248551116</v>
      </c>
      <c r="S65" s="1" t="s">
        <v>73</v>
      </c>
    </row>
    <row r="66" spans="2:19" s="1" customFormat="1" hidden="1" x14ac:dyDescent="0.25">
      <c r="B66" s="1" t="s">
        <v>69</v>
      </c>
      <c r="D66" s="1">
        <v>180</v>
      </c>
      <c r="E66" s="18">
        <f t="shared" ref="E66:O66" si="64">D66*1.03</f>
        <v>185.4</v>
      </c>
      <c r="F66" s="18">
        <f t="shared" si="64"/>
        <v>190.96200000000002</v>
      </c>
      <c r="G66" s="18">
        <f t="shared" si="64"/>
        <v>196.69086000000001</v>
      </c>
      <c r="H66" s="18">
        <f t="shared" si="64"/>
        <v>202.59158580000002</v>
      </c>
      <c r="I66" s="18">
        <f t="shared" si="64"/>
        <v>208.66933337400002</v>
      </c>
      <c r="J66" s="18">
        <f t="shared" si="64"/>
        <v>214.92941337522004</v>
      </c>
      <c r="K66" s="18">
        <f t="shared" si="64"/>
        <v>221.37729577647664</v>
      </c>
      <c r="L66" s="18">
        <f t="shared" si="64"/>
        <v>228.01861464977094</v>
      </c>
      <c r="M66" s="18">
        <f t="shared" si="64"/>
        <v>234.85917308926406</v>
      </c>
      <c r="N66" s="18">
        <f t="shared" si="64"/>
        <v>241.90494828194198</v>
      </c>
      <c r="O66" s="18">
        <f t="shared" si="64"/>
        <v>249.16209673040024</v>
      </c>
      <c r="P66" s="18">
        <f t="shared" ref="P66:R66" si="65">O66*1.03</f>
        <v>256.63695963231226</v>
      </c>
      <c r="Q66" s="18">
        <f t="shared" si="65"/>
        <v>264.33606842128165</v>
      </c>
      <c r="R66" s="18">
        <f t="shared" si="65"/>
        <v>272.26615047392011</v>
      </c>
      <c r="S66" s="1" t="s">
        <v>73</v>
      </c>
    </row>
    <row r="67" spans="2:19" s="1" customFormat="1" hidden="1" x14ac:dyDescent="0.25">
      <c r="B67" s="19" t="s">
        <v>70</v>
      </c>
      <c r="C67" s="20">
        <f>C5</f>
        <v>7.1999999999999995E-2</v>
      </c>
      <c r="D67" s="21">
        <f t="shared" ref="D67:R67" si="66">SUM(D13*(D43*$C$5))</f>
        <v>19439.999999999996</v>
      </c>
      <c r="E67" s="21">
        <f t="shared" si="66"/>
        <v>20975.759999999998</v>
      </c>
      <c r="F67" s="21">
        <f t="shared" si="66"/>
        <v>30177.12672</v>
      </c>
      <c r="G67" s="21">
        <f t="shared" si="66"/>
        <v>32561.119730879996</v>
      </c>
      <c r="H67" s="21">
        <f t="shared" si="66"/>
        <v>43916.810237024394</v>
      </c>
      <c r="I67" s="21">
        <f t="shared" si="66"/>
        <v>56863.485894899182</v>
      </c>
      <c r="J67" s="21">
        <f t="shared" si="66"/>
        <v>71581.65149402892</v>
      </c>
      <c r="K67" s="21">
        <f t="shared" si="66"/>
        <v>88270.402242351091</v>
      </c>
      <c r="L67" s="21">
        <f t="shared" si="66"/>
        <v>119054.70502437101</v>
      </c>
      <c r="M67" s="21">
        <f t="shared" si="66"/>
        <v>154152.0320655556</v>
      </c>
      <c r="N67" s="21">
        <f t="shared" si="66"/>
        <v>194051.71636519022</v>
      </c>
      <c r="O67" s="21">
        <f t="shared" si="66"/>
        <v>239293.48795204601</v>
      </c>
      <c r="P67" s="21">
        <f t="shared" si="66"/>
        <v>322747.09187532205</v>
      </c>
      <c r="Q67" s="21">
        <f t="shared" si="66"/>
        <v>400480.72895349341</v>
      </c>
      <c r="R67" s="21">
        <f t="shared" si="66"/>
        <v>526057.55578882352</v>
      </c>
      <c r="S67" s="1" t="s">
        <v>73</v>
      </c>
    </row>
    <row r="68" spans="2:19" s="1" customFormat="1" hidden="1" x14ac:dyDescent="0.25">
      <c r="B68" s="19" t="s">
        <v>66</v>
      </c>
      <c r="C68" s="22"/>
      <c r="D68" s="21">
        <f t="shared" ref="D68:R68" si="67">-D65*D13</f>
        <v>-3000</v>
      </c>
      <c r="E68" s="21">
        <f t="shared" si="67"/>
        <v>-3090</v>
      </c>
      <c r="F68" s="21">
        <f t="shared" si="67"/>
        <v>-4243.6000000000004</v>
      </c>
      <c r="G68" s="21">
        <f t="shared" si="67"/>
        <v>-4370.9080000000004</v>
      </c>
      <c r="H68" s="21">
        <f t="shared" si="67"/>
        <v>-5627.5440500000004</v>
      </c>
      <c r="I68" s="21">
        <f t="shared" si="67"/>
        <v>-6955.6444458000005</v>
      </c>
      <c r="J68" s="21">
        <f t="shared" si="67"/>
        <v>-8358.3660757030011</v>
      </c>
      <c r="K68" s="21">
        <f t="shared" si="67"/>
        <v>-9838.990923398962</v>
      </c>
      <c r="L68" s="21">
        <f t="shared" si="67"/>
        <v>-12667.700813876163</v>
      </c>
      <c r="M68" s="21">
        <f t="shared" si="67"/>
        <v>-15657.278205950937</v>
      </c>
      <c r="N68" s="21">
        <f t="shared" si="67"/>
        <v>-18814.829310817709</v>
      </c>
      <c r="O68" s="21">
        <f t="shared" si="67"/>
        <v>-22147.741931591132</v>
      </c>
      <c r="P68" s="21">
        <f t="shared" si="67"/>
        <v>-28515.217736923583</v>
      </c>
      <c r="Q68" s="21">
        <f t="shared" si="67"/>
        <v>-33776.275409385984</v>
      </c>
      <c r="R68" s="21">
        <f t="shared" si="67"/>
        <v>-42352.512295943125</v>
      </c>
      <c r="S68" s="1" t="s">
        <v>73</v>
      </c>
    </row>
    <row r="69" spans="2:19" s="1" customFormat="1" hidden="1" x14ac:dyDescent="0.25">
      <c r="B69" s="19" t="s">
        <v>67</v>
      </c>
      <c r="C69" s="23"/>
      <c r="D69" s="21">
        <f t="shared" ref="D69:R69" si="68">-D66*D13</f>
        <v>-540</v>
      </c>
      <c r="E69" s="21">
        <f t="shared" si="68"/>
        <v>-556.20000000000005</v>
      </c>
      <c r="F69" s="21">
        <f t="shared" si="68"/>
        <v>-763.84800000000007</v>
      </c>
      <c r="G69" s="21">
        <f t="shared" si="68"/>
        <v>-786.76344000000006</v>
      </c>
      <c r="H69" s="21">
        <f t="shared" si="68"/>
        <v>-1012.9579290000001</v>
      </c>
      <c r="I69" s="21">
        <f t="shared" si="68"/>
        <v>-1252.0160002440002</v>
      </c>
      <c r="J69" s="21">
        <f t="shared" si="68"/>
        <v>-1504.5058936265402</v>
      </c>
      <c r="K69" s="21">
        <f t="shared" si="68"/>
        <v>-1771.0183662118131</v>
      </c>
      <c r="L69" s="21">
        <f t="shared" si="68"/>
        <v>-2280.1861464977092</v>
      </c>
      <c r="M69" s="21">
        <f t="shared" si="68"/>
        <v>-2818.310077071169</v>
      </c>
      <c r="N69" s="21">
        <f t="shared" si="68"/>
        <v>-3386.669275947188</v>
      </c>
      <c r="O69" s="21">
        <f t="shared" si="68"/>
        <v>-3986.5935476864038</v>
      </c>
      <c r="P69" s="21">
        <f t="shared" si="68"/>
        <v>-5132.7391926462451</v>
      </c>
      <c r="Q69" s="21">
        <f t="shared" si="68"/>
        <v>-6079.7295736894775</v>
      </c>
      <c r="R69" s="21">
        <f t="shared" si="68"/>
        <v>-7623.452213269763</v>
      </c>
      <c r="S69" s="1" t="s">
        <v>73</v>
      </c>
    </row>
    <row r="70" spans="2:19" s="1" customFormat="1" hidden="1" x14ac:dyDescent="0.25">
      <c r="B70" s="19" t="s">
        <v>53</v>
      </c>
      <c r="C70" s="23"/>
      <c r="D70" s="21">
        <f t="shared" ref="D70:R70" si="69">-D67*$C$7</f>
        <v>-1117.7999999999997</v>
      </c>
      <c r="E70" s="21">
        <f t="shared" si="69"/>
        <v>-1206.1061999999999</v>
      </c>
      <c r="F70" s="21">
        <f t="shared" si="69"/>
        <v>-1735.1847864000001</v>
      </c>
      <c r="G70" s="21">
        <f t="shared" si="69"/>
        <v>-1872.2643845255998</v>
      </c>
      <c r="H70" s="21">
        <f t="shared" si="69"/>
        <v>-2525.2165886289026</v>
      </c>
      <c r="I70" s="21">
        <f t="shared" si="69"/>
        <v>-3269.6504389567031</v>
      </c>
      <c r="J70" s="21">
        <f t="shared" si="69"/>
        <v>-4115.9449609066633</v>
      </c>
      <c r="K70" s="21">
        <f t="shared" si="69"/>
        <v>-5075.5481289351883</v>
      </c>
      <c r="L70" s="21">
        <f t="shared" si="69"/>
        <v>-6845.6455389013336</v>
      </c>
      <c r="M70" s="21">
        <f t="shared" si="69"/>
        <v>-8863.7418437694469</v>
      </c>
      <c r="N70" s="21">
        <f t="shared" si="69"/>
        <v>-11157.973690998439</v>
      </c>
      <c r="O70" s="21">
        <f t="shared" si="69"/>
        <v>-13759.375557242645</v>
      </c>
      <c r="P70" s="21">
        <f t="shared" si="69"/>
        <v>-18557.957782831018</v>
      </c>
      <c r="Q70" s="21">
        <f t="shared" si="69"/>
        <v>-23027.641914825872</v>
      </c>
      <c r="R70" s="21">
        <f t="shared" si="69"/>
        <v>-30248.309457857355</v>
      </c>
      <c r="S70" s="1" t="s">
        <v>73</v>
      </c>
    </row>
    <row r="71" spans="2:19" s="1" customFormat="1" hidden="1" x14ac:dyDescent="0.25">
      <c r="B71" s="19" t="s">
        <v>41</v>
      </c>
      <c r="C71" s="23"/>
      <c r="D71" s="24">
        <f t="shared" ref="D71:R71" si="70">-((D17)*$E$3)</f>
        <v>-7857</v>
      </c>
      <c r="E71" s="24">
        <f t="shared" si="70"/>
        <v>-9031.23</v>
      </c>
      <c r="F71" s="24">
        <f t="shared" si="70"/>
        <v>-12992.92956</v>
      </c>
      <c r="G71" s="24">
        <f t="shared" si="70"/>
        <v>-14019.37099524</v>
      </c>
      <c r="H71" s="24">
        <f t="shared" si="70"/>
        <v>-18908.626629829952</v>
      </c>
      <c r="I71" s="24">
        <f t="shared" si="70"/>
        <v>-24482.889760303813</v>
      </c>
      <c r="J71" s="24">
        <f t="shared" si="70"/>
        <v>-30819.877726595791</v>
      </c>
      <c r="K71" s="24">
        <f t="shared" si="70"/>
        <v>-38005.31207656784</v>
      </c>
      <c r="L71" s="24">
        <f t="shared" si="70"/>
        <v>-51259.664663270873</v>
      </c>
      <c r="M71" s="24">
        <f t="shared" si="70"/>
        <v>-66371.013806003117</v>
      </c>
      <c r="N71" s="24">
        <f t="shared" si="70"/>
        <v>-83550.044546123594</v>
      </c>
      <c r="O71" s="24">
        <f t="shared" si="70"/>
        <v>-103029.14064601982</v>
      </c>
      <c r="P71" s="24">
        <f t="shared" si="70"/>
        <v>-138960.55344631922</v>
      </c>
      <c r="Q71" s="24">
        <f t="shared" si="70"/>
        <v>-172429.20274386523</v>
      </c>
      <c r="R71" s="24">
        <f t="shared" si="70"/>
        <v>-226497.00318685456</v>
      </c>
      <c r="S71" s="1" t="s">
        <v>73</v>
      </c>
    </row>
    <row r="72" spans="2:19" s="1" customFormat="1" hidden="1" x14ac:dyDescent="0.25">
      <c r="B72" s="19" t="s">
        <v>42</v>
      </c>
      <c r="C72" s="25">
        <v>0.13200000000000001</v>
      </c>
      <c r="D72" s="21">
        <f t="shared" ref="D72:R72" si="71">-D67*$C$72</f>
        <v>-2566.0799999999995</v>
      </c>
      <c r="E72" s="21">
        <f t="shared" si="71"/>
        <v>-2768.8003199999998</v>
      </c>
      <c r="F72" s="21">
        <f t="shared" si="71"/>
        <v>-3983.3807270400002</v>
      </c>
      <c r="G72" s="21">
        <f t="shared" si="71"/>
        <v>-4298.0678044761598</v>
      </c>
      <c r="H72" s="21">
        <f t="shared" si="71"/>
        <v>-5797.0189512872203</v>
      </c>
      <c r="I72" s="21">
        <f t="shared" si="71"/>
        <v>-7505.9801381266925</v>
      </c>
      <c r="J72" s="21">
        <f t="shared" si="71"/>
        <v>-9448.7779972118187</v>
      </c>
      <c r="K72" s="21">
        <f t="shared" si="71"/>
        <v>-11651.693095990344</v>
      </c>
      <c r="L72" s="21">
        <f t="shared" si="71"/>
        <v>-15715.221063216974</v>
      </c>
      <c r="M72" s="21">
        <f t="shared" si="71"/>
        <v>-20348.068232653339</v>
      </c>
      <c r="N72" s="21">
        <f t="shared" si="71"/>
        <v>-25614.826560205111</v>
      </c>
      <c r="O72" s="21">
        <f t="shared" si="71"/>
        <v>-31586.740409670074</v>
      </c>
      <c r="P72" s="21">
        <f t="shared" si="71"/>
        <v>-42602.616127542511</v>
      </c>
      <c r="Q72" s="21">
        <f t="shared" si="71"/>
        <v>-52863.456221861132</v>
      </c>
      <c r="R72" s="21">
        <f t="shared" si="71"/>
        <v>-69439.597364124711</v>
      </c>
      <c r="S72" s="1" t="s">
        <v>73</v>
      </c>
    </row>
    <row r="73" spans="2:19" s="1" customFormat="1" ht="18.75" hidden="1" x14ac:dyDescent="0.3">
      <c r="B73" s="26" t="s">
        <v>43</v>
      </c>
      <c r="C73" s="27"/>
      <c r="D73" s="28">
        <f>SUM(D67:D72)</f>
        <v>4359.1199999999972</v>
      </c>
      <c r="E73" s="28">
        <f t="shared" ref="E73:N73" si="72">SUM(E67:E72)</f>
        <v>4323.4234799999977</v>
      </c>
      <c r="F73" s="28">
        <f t="shared" si="72"/>
        <v>6458.1836465599981</v>
      </c>
      <c r="G73" s="28">
        <f t="shared" si="72"/>
        <v>7213.7451066382391</v>
      </c>
      <c r="H73" s="28">
        <f t="shared" si="72"/>
        <v>10045.446088278321</v>
      </c>
      <c r="I73" s="28">
        <f t="shared" si="72"/>
        <v>13397.305111467973</v>
      </c>
      <c r="J73" s="28">
        <f t="shared" si="72"/>
        <v>17334.178839985103</v>
      </c>
      <c r="K73" s="28">
        <f t="shared" si="72"/>
        <v>21927.839651246952</v>
      </c>
      <c r="L73" s="28">
        <f t="shared" si="72"/>
        <v>30286.286798607965</v>
      </c>
      <c r="M73" s="28">
        <f t="shared" si="72"/>
        <v>40093.619900107587</v>
      </c>
      <c r="N73" s="28">
        <f t="shared" si="72"/>
        <v>51527.372981098189</v>
      </c>
      <c r="O73" s="28">
        <f t="shared" ref="O73:R73" si="73">SUM(O67:O72)</f>
        <v>64783.895859835946</v>
      </c>
      <c r="P73" s="28">
        <f t="shared" si="73"/>
        <v>88978.007589059445</v>
      </c>
      <c r="Q73" s="28">
        <f t="shared" si="73"/>
        <v>112304.42308986574</v>
      </c>
      <c r="R73" s="28">
        <f t="shared" si="73"/>
        <v>149896.68127077405</v>
      </c>
      <c r="S73" s="1" t="s">
        <v>73</v>
      </c>
    </row>
    <row r="74" spans="2:19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88" spans="2:18" x14ac:dyDescent="0.25">
      <c r="B88" s="37"/>
      <c r="D88" s="38"/>
      <c r="E88" s="39"/>
      <c r="F88" s="39"/>
      <c r="G88" s="39"/>
      <c r="H88" s="39"/>
      <c r="I88" s="39"/>
      <c r="J88" s="39"/>
      <c r="K88" s="39"/>
      <c r="L88" s="39"/>
      <c r="M88" s="39"/>
    </row>
    <row r="89" spans="2:18" ht="21" x14ac:dyDescent="0.35">
      <c r="B89" s="40"/>
      <c r="C89" s="40"/>
      <c r="D89" s="41"/>
      <c r="F89" s="31" t="s">
        <v>0</v>
      </c>
      <c r="K89" s="31" t="s">
        <v>0</v>
      </c>
    </row>
    <row r="90" spans="2:18" x14ac:dyDescent="0.25">
      <c r="G90" s="42"/>
      <c r="H90" s="42"/>
      <c r="I90" s="42"/>
      <c r="J90" s="42"/>
      <c r="K90" s="42"/>
      <c r="L90" s="42"/>
      <c r="M90" s="42"/>
      <c r="N90" s="42"/>
      <c r="O90" s="42"/>
    </row>
    <row r="91" spans="2:18" x14ac:dyDescent="0.25">
      <c r="G91" s="42"/>
      <c r="H91" s="42"/>
      <c r="I91" s="42"/>
      <c r="J91" s="42"/>
      <c r="K91" s="42"/>
      <c r="L91" s="42"/>
      <c r="M91" s="42"/>
      <c r="N91" s="42"/>
      <c r="O91" s="42"/>
    </row>
    <row r="92" spans="2:18" x14ac:dyDescent="0.25">
      <c r="B92" s="37"/>
      <c r="C92" s="37"/>
      <c r="D92" s="37"/>
      <c r="E92" s="37"/>
      <c r="F92" s="37"/>
      <c r="G92" s="43"/>
      <c r="H92" s="43"/>
      <c r="I92" s="43"/>
      <c r="J92" s="43"/>
      <c r="K92" s="43"/>
      <c r="L92" s="43"/>
      <c r="M92" s="43"/>
      <c r="N92" s="43"/>
      <c r="O92" s="43"/>
      <c r="P92" s="37"/>
      <c r="Q92" s="37"/>
      <c r="R92" s="37"/>
    </row>
    <row r="93" spans="2:18" x14ac:dyDescent="0.2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</row>
    <row r="94" spans="2:18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</row>
    <row r="95" spans="2:18" x14ac:dyDescent="0.25">
      <c r="B95" s="37"/>
      <c r="C95" s="37"/>
      <c r="D95" s="44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</row>
    <row r="96" spans="2:18" x14ac:dyDescent="0.25">
      <c r="B96" s="37"/>
      <c r="C96" s="37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37"/>
      <c r="P96" s="37"/>
      <c r="Q96" s="37"/>
      <c r="R96" s="37"/>
    </row>
    <row r="97" spans="2:18" x14ac:dyDescent="0.25">
      <c r="B97" s="37"/>
      <c r="C97" s="37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37"/>
      <c r="P97" s="37"/>
      <c r="Q97" s="37"/>
      <c r="R97" s="37"/>
    </row>
    <row r="98" spans="2:18" x14ac:dyDescent="0.25">
      <c r="B98" s="37"/>
      <c r="C98" s="37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37"/>
      <c r="P98" s="37"/>
      <c r="Q98" s="37"/>
      <c r="R98" s="37"/>
    </row>
    <row r="99" spans="2:18" x14ac:dyDescent="0.25">
      <c r="B99" s="46"/>
      <c r="C99" s="3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8"/>
      <c r="P99" s="37"/>
      <c r="Q99" s="37"/>
      <c r="R99" s="37"/>
    </row>
    <row r="100" spans="2:18" x14ac:dyDescent="0.25">
      <c r="B100" s="37"/>
      <c r="C100" s="37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37"/>
      <c r="P100" s="37"/>
      <c r="Q100" s="37"/>
      <c r="R100" s="37"/>
    </row>
    <row r="101" spans="2:18" x14ac:dyDescent="0.2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</row>
    <row r="102" spans="2:18" x14ac:dyDescent="0.25">
      <c r="B102" s="46"/>
      <c r="C102" s="37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37"/>
      <c r="Q102" s="37"/>
      <c r="R102" s="37"/>
    </row>
    <row r="103" spans="2:18" x14ac:dyDescent="0.2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</row>
    <row r="104" spans="2:18" x14ac:dyDescent="0.2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</row>
    <row r="105" spans="2:18" x14ac:dyDescent="0.2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</row>
    <row r="106" spans="2:18" x14ac:dyDescent="0.2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</row>
    <row r="107" spans="2:18" x14ac:dyDescent="0.2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</row>
  </sheetData>
  <sheetProtection algorithmName="SHA-512" hashValue="4ll0dK6mtHoNVr2JwmerD4BcasLN2Q+jcnvdpgDkN2Mz/ERAUWUE7Z+u0DEgooERM4tv5bJIj5xaslk631y7oA==" saltValue="/Lf2+G8hxHjEayFUVTIXUw==" spinCount="100000" sheet="1" objects="1" scenarios="1"/>
  <autoFilter ref="B9:S73" xr:uid="{00279D80-B61C-4BF1-846C-5404F7717214}">
    <filterColumn colId="17">
      <filters blank="1">
        <filter val="562,220"/>
      </filters>
    </filterColumn>
  </autoFilter>
  <mergeCells count="3">
    <mergeCell ref="B30:C30"/>
    <mergeCell ref="G6:J6"/>
    <mergeCell ref="B29:C29"/>
  </mergeCells>
  <pageMargins left="0.17" right="0.17" top="0.98425196850393704" bottom="0.98425196850393704" header="0.51181102362204722" footer="0.51181102362204722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 Builder + </vt:lpstr>
      <vt:lpstr>'Cash Flow Builder +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Alev Gocmez</dc:creator>
  <cp:lastModifiedBy>andrew.eggleshaw</cp:lastModifiedBy>
  <cp:lastPrinted>2020-05-20T08:55:05Z</cp:lastPrinted>
  <dcterms:created xsi:type="dcterms:W3CDTF">2016-12-19T14:44:24Z</dcterms:created>
  <dcterms:modified xsi:type="dcterms:W3CDTF">2020-06-08T10:05:18Z</dcterms:modified>
</cp:coreProperties>
</file>